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на 01.07.2019" sheetId="1" r:id="rId1"/>
  </sheets>
  <definedNames>
    <definedName name="_xlnm.Print_Area" localSheetId="0">'на 01.07.2019'!$A$1:$G$235</definedName>
  </definedNames>
  <calcPr fullCalcOnLoad="1" refMode="R1C1"/>
</workbook>
</file>

<file path=xl/sharedStrings.xml><?xml version="1.0" encoding="utf-8"?>
<sst xmlns="http://schemas.openxmlformats.org/spreadsheetml/2006/main" count="784" uniqueCount="406">
  <si>
    <t>Код бюджетной классификации Российской Федерации</t>
  </si>
  <si>
    <t>Наименование дохода</t>
  </si>
  <si>
    <t>000</t>
  </si>
  <si>
    <t>1 00 00000 00 0000 000</t>
  </si>
  <si>
    <t>1 01 00000 00 0000 000</t>
  </si>
  <si>
    <t xml:space="preserve">1 01 02000 01 0000 110 </t>
  </si>
  <si>
    <t>Налог на доходы физических лиц</t>
  </si>
  <si>
    <t>1 01 02010 01 0000 110</t>
  </si>
  <si>
    <t>1 01 02020 01 0000 110</t>
  </si>
  <si>
    <t>1 01 02040 01 0000 110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</si>
  <si>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</si>
  <si>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</si>
  <si>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</si>
  <si>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</si>
  <si>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</si>
  <si>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</si>
  <si>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</si>
  <si>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</si>
  <si>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</si>
  <si>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</si>
  <si>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ПОШЛИНА, СБОРЫ</t>
  </si>
  <si>
    <t>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</si>
  <si>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</si>
  <si>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</si>
  <si>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</si>
  <si>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</si>
  <si>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</si>
  <si>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</si>
  <si>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</si>
  <si>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</si>
  <si>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</si>
  <si>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</si>
  <si>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</si>
  <si>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</si>
  <si>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</si>
  <si>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</si>
  <si>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1 15 02050 05 0000 140</t>
  </si>
  <si>
    <t>1 16 00000 00 0000 000</t>
  </si>
  <si>
    <t>ШТРАФЫ,САНКЦИИ, ВОЗМЕЩЕНИЕ УЩЕРБА</t>
  </si>
  <si>
    <t>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</si>
  <si>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</si>
  <si>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</si>
  <si>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</si>
  <si>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</si>
  <si>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</si>
  <si>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</si>
  <si>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</si>
  <si>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1 17 00000 00 0000 000</t>
  </si>
  <si>
    <t>ПРОЧИЕ НЕНАЛОГОВЫЕ ДОХОДЫ</t>
  </si>
  <si>
    <t>БЕЗВОЗМЕЗДНЫЕ ПОСТУПЛЕНИЯ</t>
  </si>
  <si>
    <t>ВСЕГО ДОХОДОВ</t>
  </si>
  <si>
    <t>1 16 25010 01 0000 140</t>
  </si>
  <si>
    <t>Единый налог на вмененный доход для отдельных видов деятельности</t>
  </si>
  <si>
    <t xml:space="preserve">1 05 02020 00 0000 110 </t>
  </si>
  <si>
    <t>Единый налог на вмененный доход для отдельных видов деятельности (за налоговые периоды, истекшие до 1 января 2011 года)</t>
  </si>
  <si>
    <t>1 13 02065 05 0000 130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</si>
  <si>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</si>
  <si>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</si>
  <si>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</si>
  <si>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</si>
  <si>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</si>
  <si>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</si>
  <si>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1 16 43000 01 0000 140</t>
  </si>
  <si>
    <t>1 01 02030 01 0000 110</t>
  </si>
  <si>
    <t>1 16 08010 01 0000 140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</si>
  <si>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</si>
  <si>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</si>
  <si>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1 05 04000 02 0000 110 </t>
  </si>
  <si>
    <t>Налог, взимаемый в связи с применением патентной системы налогообложения</t>
  </si>
  <si>
    <t>НАЛОГИ НА ТОВАРЫ (РАБОТЫ, УСЛУГИ), РЕАЛИЗУЕМЫЕ НА ТЕРРИТОРИИ РОССИЙСКОЙ ФЕДЕРАЦИИ</t>
  </si>
  <si>
    <t>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</si>
  <si>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</si>
  <si>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</si>
  <si>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</si>
  <si>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</si>
  <si>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2 02 15001 05 0000 151</t>
  </si>
  <si>
    <t>2 02 35120 05 0000 151</t>
  </si>
  <si>
    <t>2 02 40000 00 0000 151</t>
  </si>
  <si>
    <t>2 02 40014 05 0000 151</t>
  </si>
  <si>
    <t>1 16 23000 00 0000 140</t>
  </si>
  <si>
    <t>Доходы от возмещения ущерба при возникновении страховых случаев</t>
  </si>
  <si>
    <t>1 09 07000 00 0000 110</t>
  </si>
  <si>
    <t>2 18 00000 00 0000 000</t>
  </si>
  <si>
    <t>2 19 00000 00 0000 000</t>
  </si>
  <si>
    <t>1 09 00000 00 0000 000</t>
  </si>
  <si>
    <t>Сумма, руб.</t>
  </si>
  <si>
    <t> НАЛОГОВЫЕ И НЕНАЛОГОВЫЕ ДОХОДЫ</t>
  </si>
  <si>
    <t> НАЛОГИ НА ПРИБЫЛЬ, ДОХОДЫ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</si>
  <si>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 Налогового 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</si>
  <si>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</si>
  <si>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</si>
  <si>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</si>
  <si>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1 05 02000 02 0000 110 </t>
  </si>
  <si>
    <t xml:space="preserve">Единый налог на вменённый доход для отдельных видов деятельности </t>
  </si>
  <si>
    <t>1 05 03000 01 0000 110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</si>
  <si>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</si>
  <si>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</si>
  <si>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1 09 07013 05 0000 110</t>
  </si>
  <si>
    <t>1 09 07033 05 0000 110</t>
  </si>
  <si>
    <t>1 09 07053 05 0000 110</t>
  </si>
  <si>
    <t>1 11 03000 00 0000 120</t>
  </si>
  <si>
    <t>Проценты, полученные от  предоставления бюджетных кредитов внутри страны</t>
  </si>
  <si>
    <t>1 11 03050 05 0000 120</t>
  </si>
  <si>
    <t xml:space="preserve">1 11 05000 00 0000 120
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</si>
  <si>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бюджетных и автономных  учреждений,  а также имущества государственных  и 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</si>
  <si>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</si>
  <si>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1 11 09000 00 0000 120
</t>
  </si>
  <si>
    <t>Плата за сбросы загрязняющих веществ в водные объекты</t>
  </si>
  <si>
    <t>ДОХОДЫ ОТ ОКАЗАНИЯ ПЛАТНЫХ УСЛУГ И КОМПЕНСАЦИЙ ЗАТРАТ ГОСУДАРСТВА</t>
  </si>
  <si>
    <t>1 14 02000 00 0000 410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</si>
  <si>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</si>
  <si>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</si>
  <si>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</si>
  <si>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1 14 06013 130000 430</t>
  </si>
  <si>
    <t>1 16 03000 01 0000 140</t>
  </si>
  <si>
    <t>Денежные взыскания (штрафы) за нарушение законодательства о налогах и сборах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</si>
  <si>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</si>
  <si>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</si>
  <si>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1 16 21050 05 0000 140</t>
  </si>
  <si>
    <t>1 16 25000 01 0000 140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</si>
  <si>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</si>
  <si>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недрах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</si>
  <si>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</si>
  <si>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</si>
  <si>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1 16 32000 05 0000 140</t>
  </si>
  <si>
    <t xml:space="preserve">1 17 05000 00 0000 180  </t>
  </si>
  <si>
    <t>Прочие неналоговые доходы</t>
  </si>
  <si>
    <t xml:space="preserve"> 2 00 00000 00 0000 000</t>
  </si>
  <si>
    <t xml:space="preserve"> 2 02 00000 00 0000 000</t>
  </si>
  <si>
    <t>БЕЗВОЗМЕЗДНЫЕ ПОСТУПЛЕНИЯ ИЗ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</si>
  <si>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</si>
  <si>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</si>
  <si>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2 02 20041 05 0000 151</t>
  </si>
  <si>
    <t>2 02 20051 05 0000 151</t>
  </si>
  <si>
    <t>СУБВЕНЦИИ БЮДЖЕТАМ СУБЪЕКТОВ РОССИЙСКОЙ ФЕДЕРАЦИИ И МУНИЦИПАЛЬНЫХ ОБРАЗОВАНИЙ</t>
  </si>
  <si>
    <t>2 02 30024 05 0000 151</t>
  </si>
  <si>
    <t>2 02 35485 05 0000 151</t>
  </si>
  <si>
    <t>ИНЫЕ МЕЖБЮДЖЕТНЫЕ ТРАНСФЕРТЫ</t>
  </si>
  <si>
    <t>2 0245160 05 0000 151</t>
  </si>
  <si>
    <t>2 02 45144 05 0000 151</t>
  </si>
  <si>
    <t>2 02 04041 05 0000 151</t>
  </si>
  <si>
    <t>2 02 45147 05 0000 151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</si>
  <si>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</si>
  <si>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</si>
  <si>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2 02 35082 04 0000 151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</si>
  <si>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</si>
  <si>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</si>
  <si>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</si>
  <si>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Доходы, поступающие в порядке возмещения расходов, понесенных в связи с эксплуатацией  имущества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</si>
  <si>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</si>
  <si>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</si>
  <si>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</si>
  <si>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Дотации бюджетам городских округов на поддержку мер по обеспечению сбалансированности бюджетов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</si>
  <si>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</si>
  <si>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</si>
  <si>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</si>
  <si>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</si>
  <si>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</si>
  <si>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</si>
  <si>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</si>
  <si>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</si>
  <si>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сборы, мобилизуемые на территориях городских округов</t>
  </si>
  <si>
    <t>Проценты, полученные от предоставления бюджетных кредитов внутри страны за счет средств бюджетов городских округов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</si>
  <si>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</si>
  <si>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</si>
  <si>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Доходы от возмещения ущерба при возникновении страховых случаев, когда выгодоприобретателями по договорам обязательного страхования гражданской ответственности выступают получатели средств бюджетов городских округов</t>
  </si>
  <si>
    <t>Денежные взыскания, налагаемые в возмещение ущерба, причиненного в результате незаконного  или  нецелевого использования  бюджетных средств (в части бюджетов городских округов)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</si>
  <si>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городских округов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</si>
  <si>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</si>
  <si>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</si>
  <si>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Дотации бюджетам городских округов на выравнивание  бюджетной обеспеченности</t>
  </si>
  <si>
    <t>Прочие дотации бюджетам городских округов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</si>
  <si>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дорог федерального значения)</t>
  </si>
  <si>
    <t>Субсидии бюджетам городских округов на реализацию федеральных целевых программ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</si>
  <si>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</si>
  <si>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</si>
  <si>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Прочие субсидии бюджетам городских округов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</si>
  <si>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</si>
  <si>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</si>
  <si>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</si>
  <si>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</si>
  <si>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городских округов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</si>
  <si>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</si>
  <si>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</si>
  <si>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Прочие межбюджетные трансферты, передаваемые бюджетам городских округов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</si>
  <si>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</si>
  <si>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</si>
  <si>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</si>
  <si>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</si>
  <si>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>Межбюджетные трансферты, передаваемые бюджетам поселений на государственную поддержку муниципальных учреждений культуры, находящихся на территориях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</si>
  <si>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</si>
  <si>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1 06 06032 04 0000 110</t>
  </si>
  <si>
    <t>1 06 06042 04 0000 110</t>
  </si>
  <si>
    <t xml:space="preserve">1 11 05012 00 0000 120
</t>
  </si>
  <si>
    <t xml:space="preserve">1 11 05012 04 0000 120
</t>
  </si>
  <si>
    <t>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</si>
  <si>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</si>
  <si>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1 11 05034 04 0000 120</t>
  </si>
  <si>
    <t>1 11 05074 04 0000 120</t>
  </si>
  <si>
    <t>1 13 01994 04 0000 130</t>
  </si>
  <si>
    <t>1 13 02064 04 0000 130</t>
  </si>
  <si>
    <t>1 13 02994 04 0000 130</t>
  </si>
  <si>
    <t>1 14 02043 04 0000 410</t>
  </si>
  <si>
    <t>1 14 06012 00 0000 430</t>
  </si>
  <si>
    <t xml:space="preserve">000 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</si>
  <si>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</si>
  <si>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1 16 90040 04 0000 140</t>
  </si>
  <si>
    <t xml:space="preserve">1 17 05040 04 0000 180  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</si>
  <si>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</si>
  <si>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руб.</t>
  </si>
  <si>
    <t>Процент исполнения</t>
  </si>
  <si>
    <t>1 16 25020 01  0000 140</t>
  </si>
  <si>
    <t xml:space="preserve">Денежные взыскания (штрафы) за нарушение законодательства Российской Федерации об особо охраняемых природных территориях
</t>
  </si>
  <si>
    <t>Прочие безвозмездные поступления в бюджеты городских округов</t>
  </si>
  <si>
    <t>2 07 00000 00 0000 000</t>
  </si>
  <si>
    <t>ПРОЧИЕ БЕЗВОЗМЕЗДНЫЕ ПОСТУПЛЕНИЯ</t>
  </si>
  <si>
    <t>2 18 04020 04 0000 180</t>
  </si>
  <si>
    <t xml:space="preserve">2 04 00000 00 0000 000
</t>
  </si>
  <si>
    <t xml:space="preserve">БЕЗВОЗМЕЗДНЫЕ ПОСТУПЛЕНИЯ ОТ НЕГОСУДАРСТВЕННЫХ ОРГАНИЗАЦИЙ
</t>
  </si>
  <si>
    <t xml:space="preserve">Прочие безвозмездные поступления от негосударственных организаций в бюджеты городских округов
</t>
  </si>
  <si>
    <t>1 16 37030 04 0000 140</t>
  </si>
  <si>
    <t>Поступления сумм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</si>
  <si>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</si>
  <si>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</si>
  <si>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</si>
  <si>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</si>
  <si>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1 16 30030 01 0000 140</t>
  </si>
  <si>
    <t>Денежные взыскания (штрафы)за правонарушения в области дорожного движения</t>
  </si>
  <si>
    <t>Прочие доходы от компенсации затрат бюджетов городских округов, в т.ч.</t>
  </si>
  <si>
    <t xml:space="preserve">1 13 02994 04 0000 130 </t>
  </si>
  <si>
    <t>- возмещение затрат ЕДДС</t>
  </si>
  <si>
    <t>Прочие доходы от оказания платных услуг (работ) получателями средств бюджетов городских округов, в т.ч.</t>
  </si>
  <si>
    <t>- за найм муниципального жилья</t>
  </si>
  <si>
    <t>- доходы от платных услуг (учреждений культуры)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</si>
  <si>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</si>
  <si>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1 12 01041 01 0000 120</t>
  </si>
  <si>
    <t>Плата за размещение отходов производства</t>
  </si>
  <si>
    <t xml:space="preserve">Плата за размещение твердых коммунальных отходов </t>
  </si>
  <si>
    <t>2 02 15311 04 0000 151</t>
  </si>
  <si>
    <t>Дотации бюджетам городских округов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</si>
  <si>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Перевыполнение на</t>
  </si>
  <si>
    <t>- возврат дебиторской задолженности прошлых лет</t>
  </si>
  <si>
    <t>1 12 01042 01 0000 120</t>
  </si>
  <si>
    <t>Код ГАД</t>
  </si>
  <si>
    <t>031</t>
  </si>
  <si>
    <t>048</t>
  </si>
  <si>
    <t>027</t>
  </si>
  <si>
    <t>182</t>
  </si>
  <si>
    <t>188</t>
  </si>
  <si>
    <t>321</t>
  </si>
  <si>
    <t>177</t>
  </si>
  <si>
    <t>086</t>
  </si>
  <si>
    <t>245</t>
  </si>
  <si>
    <t>030</t>
  </si>
  <si>
    <t>- на горячее питание</t>
  </si>
  <si>
    <t>029</t>
  </si>
  <si>
    <t>- на каникулярное время</t>
  </si>
  <si>
    <t>- на подвоз учащихся</t>
  </si>
  <si>
    <t>- на участие в социально значимых проектах</t>
  </si>
  <si>
    <t>- на КДН</t>
  </si>
  <si>
    <t>- на дороги 3 класса</t>
  </si>
  <si>
    <t>- на административные комиссии</t>
  </si>
  <si>
    <t>- на борьбу с болезнями животных</t>
  </si>
  <si>
    <t>- на жилье детям-сиротам</t>
  </si>
  <si>
    <t>- на общее образование (школы)</t>
  </si>
  <si>
    <t>- на дошкольное образование (д/сады)</t>
  </si>
  <si>
    <t>- на компенсацию ЖКУ сельским педработникам</t>
  </si>
  <si>
    <t>1 03 02231 01 0000 110</t>
  </si>
  <si>
    <t>1 03 02241 01 0000 110</t>
  </si>
  <si>
    <t>1 03 02251 01 0000 110</t>
  </si>
  <si>
    <t>1 03 02261 01 0000 110</t>
  </si>
  <si>
    <t>161</t>
  </si>
  <si>
    <t>- доплата собственников по Программе переселения 2018 г. 1 этап</t>
  </si>
  <si>
    <t>- доплата собственников по Программе переселения 2018 г. 3 этап</t>
  </si>
  <si>
    <t>1 14 13000 00 0000 000</t>
  </si>
  <si>
    <t>Доходы от приватизации имущества, находящегося в государственной и муниципальной собственности</t>
  </si>
  <si>
    <t>1 14 13040 04 0000 410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</si>
  <si>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</si>
  <si>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100</t>
  </si>
  <si>
    <t>800</t>
  </si>
  <si>
    <t>1 14 06312 04 0000 430</t>
  </si>
  <si>
    <t>1 14 06000 00 0000 430</t>
  </si>
  <si>
    <t>1 14 06012 04 0000 430</t>
  </si>
  <si>
    <t>1 14 06024 04 0000 430</t>
  </si>
  <si>
    <t xml:space="preserve">1 17 01040 04 0000 180  </t>
  </si>
  <si>
    <t>017</t>
  </si>
  <si>
    <t>- на транспортное обслуживание по регулируемым тарифам</t>
  </si>
  <si>
    <t>- на поддержку редакции газеты</t>
  </si>
  <si>
    <t>- на ремонт дворовых территорий</t>
  </si>
  <si>
    <t>- на ремонт улично-дорожной сети</t>
  </si>
  <si>
    <t>- на мероприятия по безопастности дорожного движения</t>
  </si>
  <si>
    <t>2 02 29999 04 2191 150</t>
  </si>
  <si>
    <t>2 02 20077 04 0000 150</t>
  </si>
  <si>
    <t>2 02 20216 04 0000 150</t>
  </si>
  <si>
    <t>2 02 20216 04 2125 150</t>
  </si>
  <si>
    <t>2 02 20216 04 2224 150</t>
  </si>
  <si>
    <t>2 02 20216 04 2227 150</t>
  </si>
  <si>
    <t>2 02 29999 04 0000 150</t>
  </si>
  <si>
    <t>2 02 29999 04 2012 150</t>
  </si>
  <si>
    <t>2 02 29999 04 2049 150</t>
  </si>
  <si>
    <t>2 02 29999 04 2064 150</t>
  </si>
  <si>
    <t>2 02 29999 04 2071 150</t>
  </si>
  <si>
    <t>2 02 29999 04 2093 150</t>
  </si>
  <si>
    <t>2 02 29999 04 2203 150</t>
  </si>
  <si>
    <t>2 02 30000 00 0000 150</t>
  </si>
  <si>
    <t>2 02 35120 04 0000 150</t>
  </si>
  <si>
    <t>2 02 35930 04 0000 150</t>
  </si>
  <si>
    <t>2 02 39999 04 0000 150</t>
  </si>
  <si>
    <t>2 02 39999 04 2015 150</t>
  </si>
  <si>
    <t>2 02 39999 04 2070 150</t>
  </si>
  <si>
    <t>2 02 39999 04 2114 150</t>
  </si>
  <si>
    <t>2 02 39999 04 2151 150</t>
  </si>
  <si>
    <t>2 02 39999 04 2217 150</t>
  </si>
  <si>
    <t>2 02 39999 04 2016 150</t>
  </si>
  <si>
    <t>2 02 39999 04 2153 150</t>
  </si>
  <si>
    <t>2 02 39999 04 2174 150</t>
  </si>
  <si>
    <t>2 19 60010 04 0000 150</t>
  </si>
  <si>
    <t>2 02 30029 04 0000 150</t>
  </si>
  <si>
    <t>2 02 10000 00 0000 150</t>
  </si>
  <si>
    <t>2 02 19999 04 0000 150</t>
  </si>
  <si>
    <t>2 02 20000 00 0000 150</t>
  </si>
  <si>
    <t>- на укрепление МТБ организаций оттыха и оздоровления детей</t>
  </si>
  <si>
    <t xml:space="preserve">2 04 04099 04 0000 150
</t>
  </si>
  <si>
    <t>2 07 04050 04 0000 150</t>
  </si>
  <si>
    <t>2 18 04010 04 0000 150</t>
  </si>
  <si>
    <t>322</t>
  </si>
  <si>
    <t>332</t>
  </si>
  <si>
    <t>2 02 29999 04 2208 150</t>
  </si>
  <si>
    <t>- на повышение заработной платы работникам учреждений культуры</t>
  </si>
  <si>
    <t>032</t>
  </si>
  <si>
    <t>2 02 29999 04 2207 150</t>
  </si>
  <si>
    <t>- на повышение заработной платы пед. работникам учреждений доп. образования</t>
  </si>
  <si>
    <t>327</t>
  </si>
  <si>
    <t xml:space="preserve">Суммы по искам о возмещении вреда, причиненного окружающей среде, подлежащие зачислению в бюджеты городских округов
</t>
  </si>
  <si>
    <t>1 16 35020 04 0000 140</t>
  </si>
  <si>
    <t>2 02 25467 04 0000 150</t>
  </si>
  <si>
    <t>2 02 25555 04 0000 150</t>
  </si>
  <si>
    <t>2 02 25097 04 0000 150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</si>
  <si>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</si>
  <si>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2 02 29999 04 2075 150</t>
  </si>
  <si>
    <t>- на плоскостные сооружения</t>
  </si>
  <si>
    <t>141</t>
  </si>
  <si>
    <t>2 02 29999 04 2190 150</t>
  </si>
  <si>
    <t>- на укрепление мтб общеобразовательных организаций</t>
  </si>
  <si>
    <t>2 02 29999 04 9000 150</t>
  </si>
  <si>
    <t>Прочие межбюджетные трансферты, передаваемые бюджетам городских округов на ППМИ</t>
  </si>
  <si>
    <t>Приложение 1</t>
  </si>
  <si>
    <t>1 05 03010 01 1000 110</t>
  </si>
  <si>
    <t>1 09 04052 04 2100 110</t>
  </si>
  <si>
    <t>Земельный налог (по обязательствам, возникшим до 1 января 2006 года), мобилизуемый на территориях городских округов</t>
  </si>
  <si>
    <t>- судебные издержки (экспертиза)</t>
  </si>
  <si>
    <t>- прочие доходы от компенсации затрат бюджета</t>
  </si>
  <si>
    <t>1 16 23041 04 0000 140</t>
  </si>
  <si>
    <t>1 16 25073 04 0000 140</t>
  </si>
  <si>
    <t xml:space="preserve">Денежные взыскания (штрафы) за нарушение лесного законодательства на лесных участках, находящихся в собственности городских округов
</t>
  </si>
  <si>
    <t>2 02 25519 04 0000 150</t>
  </si>
  <si>
    <t xml:space="preserve">Субсидия бюджетам городских округов на поддержку отрасли культуры (в части комплектования книжных фондов муниципальных общедоступных библиотек Тверской области) </t>
  </si>
  <si>
    <t>2 02 29999 04 2043 150</t>
  </si>
  <si>
    <t>- Прочие субсидии бюджетам городских округов на проведение работ по восстановлению воинских захоронений</t>
  </si>
  <si>
    <t>2 02 29999 04 2232 150</t>
  </si>
  <si>
    <t>- на повышение заработной платы работникам учреждений образования</t>
  </si>
  <si>
    <t>- на реализацию ППМИ</t>
  </si>
  <si>
    <t>Прочие межбюджетные трансферты, передаваемые бюджетам городских округов на реализацию мероприятий за счет средств резервного фонда Правительства Тверской области</t>
  </si>
  <si>
    <t>св. 100</t>
  </si>
  <si>
    <t>Поступление доходов в бюджет Осташковского городского округа за 2019 год</t>
  </si>
  <si>
    <t>Исполнение на 01.01.2020</t>
  </si>
  <si>
    <t xml:space="preserve">1 05 02010 02 0000 110 </t>
  </si>
  <si>
    <t xml:space="preserve">1 05 02010 02 1000 110 </t>
  </si>
  <si>
    <t xml:space="preserve">1 05 02010 02 2100 110 </t>
  </si>
  <si>
    <t>Единый налог на вмененный доход для отдельных видов деятельности (за налоговые периоды, истекшие до 1 января 2011 года)(пени по соответствующему платежу)</t>
  </si>
  <si>
    <t xml:space="preserve">1 05 02020 00 2100 110 </t>
  </si>
  <si>
    <t>1 06 01020 04 2100 110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</si>
  <si>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</si>
  <si>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</si>
  <si>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</si>
  <si>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Единый налог на вмененный доход для отдельных видов деятельности (пени по соответствующему платежу)
</t>
  </si>
  <si>
    <t xml:space="preserve">1 05 02010 02 3000 110 </t>
  </si>
  <si>
    <t xml:space="preserve">1 05 02020 00 1000 110 </t>
  </si>
  <si>
    <t>1 05 03010 01 2100 110</t>
  </si>
  <si>
    <t xml:space="preserve">1 05 04010 02 1000 110 </t>
  </si>
  <si>
    <t xml:space="preserve">1 05 04010 02 2100 110 </t>
  </si>
  <si>
    <t>1 06 01020 04 1000 110</t>
  </si>
  <si>
    <t>1 06 06032 04 1000 110</t>
  </si>
  <si>
    <t>1 06 06032 04 2100 110</t>
  </si>
  <si>
    <t xml:space="preserve">1 11 07000 00 0000 120
</t>
  </si>
  <si>
    <t>Платежи от государственных и муниципальных унитарных предприятий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</si>
  <si>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</si>
  <si>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</si>
  <si>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1 16 03010 01 6000 140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</si>
  <si>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</si>
  <si>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1 16 03030 01 6000 140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</si>
  <si>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(федеральные государственные органы, Банк России, органы управления государственными внебюджетными фондами Российской Федерации)
</t>
  </si>
  <si>
    <t xml:space="preserve">1 16 33040 04 6000 140 </t>
  </si>
  <si>
    <t xml:space="preserve">1 16 33040 04 0000 140 </t>
  </si>
  <si>
    <t>1 16 51020 02 0000 140</t>
  </si>
  <si>
    <t>2 02 15002 04 0000 150</t>
  </si>
  <si>
    <t>2 02 49999 04 2164 150</t>
  </si>
  <si>
    <t>2 02 49999 04 2165 150</t>
  </si>
  <si>
    <t>2 02 49999 04 9000 150</t>
  </si>
  <si>
    <t xml:space="preserve">2 04 04099 04 9000 150
</t>
  </si>
  <si>
    <t>2 07 04050 04 9000 150</t>
  </si>
  <si>
    <t>к решению Осташковской городской Думы</t>
  </si>
  <si>
    <t xml:space="preserve">"Об утвержении  годового отчета об исполнении  </t>
  </si>
  <si>
    <t>бюджета Осташковского городского округа за 2019 год"</t>
  </si>
  <si>
    <t xml:space="preserve">Принято по бюджету </t>
  </si>
  <si>
    <t>от 26.11.2020 №263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</si>
</sst>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_-* #,##0.0_р_._-;\-* #,##0.0_р_._-;_-* &quot;-&quot;?_р_._-;_-@_-"/>
    <numFmt numFmtId="178" formatCode="0.0"/>
    <numFmt numFmtId="179" formatCode="_-* #,##0_р_._-;\-* #,##0_р_._-;_-* &quot;-&quot;?_р_._-;_-@_-"/>
    <numFmt numFmtId="180" formatCode="_-* #,##0.00_р_._-;\-* #,##0.00_р_._-;_-* &quot;-&quot;?_р_._-;_-@_-"/>
    <numFmt numFmtId="181" formatCode="_-* #,##0.000_р_._-;\-* #,##0.000_р_._-;_-* &quot;-&quot;?_р_._-;_-@_-"/>
    <numFmt numFmtId="182" formatCode="_-* #,##0.0000_р_._-;\-* #,##0.0000_р_._-;_-* &quot;-&quot;?_р_._-;_-@_-"/>
    <numFmt numFmtId="183" formatCode="_-* #,##0.00000_р_._-;\-* #,##0.00000_р_._-;_-* &quot;-&quot;?_р_._-;_-@_-"/>
    <numFmt numFmtId="184" formatCode="_-* #,##0.000000_р_._-;\-* #,##0.000000_р_._-;_-* &quot;-&quot;?_р_._-;_-@_-"/>
    <numFmt numFmtId="185" formatCode="_-* #,##0.0000000_р_._-;\-* #,##0.0000000_р_._-;_-* &quot;-&quot;?_р_._-;_-@_-"/>
    <numFmt numFmtId="186" formatCode="_-* #,##0.00000000_р_._-;\-* #,##0.00000000_р_._-;_-* &quot;-&quot;?_р_._-;_-@_-"/>
    <numFmt numFmtId="187" formatCode="_-* #,##0.000000000_р_._-;\-* #,##0.000000000_р_._-;_-* &quot;-&quot;?_р_._-;_-@_-"/>
    <numFmt numFmtId="188" formatCode="_-* #,##0.0000000000_р_._-;\-* #,##0.0000000000_р_._-;_-* &quot;-&quot;?_р_._-;_-@_-"/>
    <numFmt numFmtId="189" formatCode="_-* #,##0.00000000000_р_._-;\-* #,##0.00000000000_р_._-;_-* &quot;-&quot;?_р_._-;_-@_-"/>
    <numFmt numFmtId="190" formatCode="_-* #,##0.000000000000_р_._-;\-* #,##0.000000000000_р_._-;_-* &quot;-&quot;?_р_._-;_-@_-"/>
    <numFmt numFmtId="191" formatCode="_-* #,##0.0_р_._-;\-* #,##0.0_р_._-;_-* &quot;-&quot;??_р_.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\-#,##0.00\ "/>
    <numFmt numFmtId="197" formatCode="[$-FC19]d\ mmmm\ yyyy\ &quot;г.&quot;"/>
  </numFmts>
  <fonts count="79">
    <font>
      <sz val="10"/>
      <name val="Arial"/>
      <family val="0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sz val="9"/>
      <color indexed="10"/>
      <name val="Tahoma"/>
      <family val="2"/>
    </font>
    <font>
      <u val="single"/>
      <sz val="10"/>
      <color indexed="36"/>
      <name val="Arial"/>
      <family val="2"/>
    </font>
    <font>
      <sz val="9"/>
      <color indexed="11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b/>
      <i/>
      <sz val="10"/>
      <color indexed="8"/>
      <name val="Times New Roman"/>
      <family val="1"/>
    </font>
    <font>
      <b/>
      <sz val="11"/>
      <color indexed="8"/>
      <name val="Arial"/>
      <family val="2"/>
    </font>
    <font>
      <b/>
      <sz val="12"/>
      <color indexed="8"/>
      <name val="Times New Roman"/>
      <family val="1"/>
    </font>
    <font>
      <b/>
      <i/>
      <sz val="11"/>
      <color indexed="8"/>
      <name val="Arial"/>
      <family val="2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b/>
      <i/>
      <sz val="10"/>
      <color theme="1"/>
      <name val="Times New Roman"/>
      <family val="1"/>
    </font>
    <font>
      <b/>
      <sz val="11"/>
      <color theme="1"/>
      <name val="Arial"/>
      <family val="2"/>
    </font>
    <font>
      <b/>
      <sz val="12"/>
      <color theme="1"/>
      <name val="Times New Roman"/>
      <family val="1"/>
    </font>
    <font>
      <b/>
      <i/>
      <sz val="11"/>
      <color theme="1"/>
      <name val="Arial"/>
      <family val="2"/>
    </font>
    <font>
      <b/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" fontId="48" fillId="20" borderId="1">
      <alignment horizontal="right" vertical="top" shrinkToFit="1"/>
      <protection/>
    </xf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9" fillId="27" borderId="2" applyNumberFormat="0" applyAlignment="0" applyProtection="0"/>
    <xf numFmtId="0" fontId="50" fillId="28" borderId="3" applyNumberFormat="0" applyAlignment="0" applyProtection="0"/>
    <xf numFmtId="0" fontId="51" fillId="28" borderId="2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Border="0">
      <alignment horizontal="left" vertical="top"/>
      <protection locked="0"/>
    </xf>
    <xf numFmtId="0" fontId="3" fillId="0" borderId="0" applyNumberFormat="0" applyBorder="0">
      <alignment horizontal="right" vertical="center"/>
      <protection locked="0"/>
    </xf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29" borderId="8" applyNumberFormat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3" fillId="0" borderId="0" applyNumberFormat="0" applyBorder="0">
      <alignment horizontal="left" vertical="center" indent="3"/>
      <protection locked="0"/>
    </xf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3" fillId="0" borderId="0" applyNumberFormat="0" applyBorder="0">
      <alignment horizontal="left" vertical="center" indent="1"/>
      <protection locked="0"/>
    </xf>
    <xf numFmtId="0" fontId="5" fillId="0" borderId="0" applyNumberFormat="0" applyBorder="0">
      <alignment horizontal="left" vertical="center" wrapText="1" indent="1"/>
      <protection locked="0"/>
    </xf>
    <xf numFmtId="0" fontId="63" fillId="33" borderId="0" applyNumberFormat="0" applyBorder="0" applyAlignment="0" applyProtection="0"/>
  </cellStyleXfs>
  <cellXfs count="130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 vertical="top" wrapText="1"/>
    </xf>
    <xf numFmtId="0" fontId="0" fillId="34" borderId="0" xfId="0" applyFont="1" applyFill="1" applyAlignment="1">
      <alignment horizontal="right" vertical="top" wrapText="1"/>
    </xf>
    <xf numFmtId="0" fontId="0" fillId="34" borderId="0" xfId="0" applyFill="1" applyAlignment="1">
      <alignment/>
    </xf>
    <xf numFmtId="49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Alignment="1">
      <alignment/>
    </xf>
    <xf numFmtId="0" fontId="0" fillId="0" borderId="0" xfId="54" applyAlignment="1">
      <alignment horizontal="left"/>
      <protection/>
    </xf>
    <xf numFmtId="0" fontId="9" fillId="0" borderId="0" xfId="0" applyFont="1" applyAlignment="1">
      <alignment horizontal="left" vertical="top" wrapText="1"/>
    </xf>
    <xf numFmtId="0" fontId="0" fillId="0" borderId="0" xfId="54" applyFill="1" applyBorder="1" applyAlignment="1">
      <alignment horizontal="left"/>
      <protection/>
    </xf>
    <xf numFmtId="4" fontId="64" fillId="0" borderId="11" xfId="63" applyNumberFormat="1" applyFont="1" applyFill="1" applyBorder="1" applyAlignment="1">
      <alignment vertical="top"/>
      <protection locked="0"/>
    </xf>
    <xf numFmtId="4" fontId="65" fillId="0" borderId="11" xfId="63" applyNumberFormat="1" applyFont="1" applyFill="1" applyBorder="1" applyAlignment="1">
      <alignment vertical="top"/>
      <protection locked="0"/>
    </xf>
    <xf numFmtId="0" fontId="64" fillId="0" borderId="11" xfId="0" applyFont="1" applyFill="1" applyBorder="1" applyAlignment="1">
      <alignment vertical="justify"/>
    </xf>
    <xf numFmtId="49" fontId="64" fillId="0" borderId="11" xfId="0" applyNumberFormat="1" applyFont="1" applyFill="1" applyBorder="1" applyAlignment="1">
      <alignment horizontal="justify" vertical="top" wrapText="1"/>
    </xf>
    <xf numFmtId="49" fontId="64" fillId="0" borderId="11" xfId="0" applyNumberFormat="1" applyFont="1" applyFill="1" applyBorder="1" applyAlignment="1">
      <alignment horizontal="center" vertical="top" wrapText="1"/>
    </xf>
    <xf numFmtId="4" fontId="66" fillId="0" borderId="11" xfId="63" applyNumberFormat="1" applyFont="1" applyFill="1" applyBorder="1" applyAlignment="1">
      <alignment horizontal="right" vertical="top"/>
      <protection locked="0"/>
    </xf>
    <xf numFmtId="0" fontId="66" fillId="0" borderId="11" xfId="0" applyFont="1" applyFill="1" applyBorder="1" applyAlignment="1">
      <alignment horizontal="left" vertical="justify" wrapText="1"/>
    </xf>
    <xf numFmtId="0" fontId="66" fillId="0" borderId="11" xfId="0" applyFont="1" applyFill="1" applyBorder="1" applyAlignment="1">
      <alignment horizontal="justify" vertical="top" wrapText="1"/>
    </xf>
    <xf numFmtId="0" fontId="67" fillId="0" borderId="11" xfId="0" applyFont="1" applyFill="1" applyBorder="1" applyAlignment="1">
      <alignment vertical="justify"/>
    </xf>
    <xf numFmtId="0" fontId="64" fillId="0" borderId="11" xfId="0" applyNumberFormat="1" applyFont="1" applyFill="1" applyBorder="1" applyAlignment="1">
      <alignment horizontal="justify" vertical="top" wrapText="1"/>
    </xf>
    <xf numFmtId="0" fontId="68" fillId="0" borderId="0" xfId="0" applyFont="1" applyFill="1" applyAlignment="1">
      <alignment/>
    </xf>
    <xf numFmtId="4" fontId="65" fillId="0" borderId="12" xfId="0" applyNumberFormat="1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5" fillId="0" borderId="11" xfId="0" applyNumberFormat="1" applyFont="1" applyFill="1" applyBorder="1" applyAlignment="1">
      <alignment horizontal="center" vertical="top"/>
    </xf>
    <xf numFmtId="0" fontId="68" fillId="0" borderId="11" xfId="0" applyFont="1" applyFill="1" applyBorder="1" applyAlignment="1">
      <alignment/>
    </xf>
    <xf numFmtId="49" fontId="66" fillId="0" borderId="11" xfId="0" applyNumberFormat="1" applyFont="1" applyFill="1" applyBorder="1" applyAlignment="1">
      <alignment horizontal="right" vertical="justify"/>
    </xf>
    <xf numFmtId="0" fontId="66" fillId="0" borderId="11" xfId="0" applyFont="1" applyFill="1" applyBorder="1" applyAlignment="1">
      <alignment horizontal="left" vertical="justify"/>
    </xf>
    <xf numFmtId="0" fontId="66" fillId="0" borderId="11" xfId="0" applyNumberFormat="1" applyFont="1" applyFill="1" applyBorder="1" applyAlignment="1">
      <alignment horizontal="justify" vertical="top" wrapText="1"/>
    </xf>
    <xf numFmtId="49" fontId="66" fillId="0" borderId="11" xfId="0" applyNumberFormat="1" applyFont="1" applyFill="1" applyBorder="1" applyAlignment="1">
      <alignment horizontal="center" vertical="top" wrapText="1"/>
    </xf>
    <xf numFmtId="4" fontId="68" fillId="0" borderId="11" xfId="0" applyNumberFormat="1" applyFont="1" applyFill="1" applyBorder="1" applyAlignment="1">
      <alignment/>
    </xf>
    <xf numFmtId="4" fontId="68" fillId="0" borderId="0" xfId="0" applyNumberFormat="1" applyFont="1" applyFill="1" applyAlignment="1">
      <alignment/>
    </xf>
    <xf numFmtId="49" fontId="65" fillId="0" borderId="11" xfId="0" applyNumberFormat="1" applyFont="1" applyFill="1" applyBorder="1" applyAlignment="1">
      <alignment horizontal="right" vertical="justify"/>
    </xf>
    <xf numFmtId="0" fontId="65" fillId="0" borderId="11" xfId="0" applyFont="1" applyFill="1" applyBorder="1" applyAlignment="1">
      <alignment horizontal="left" vertical="justify"/>
    </xf>
    <xf numFmtId="0" fontId="65" fillId="0" borderId="11" xfId="0" applyNumberFormat="1" applyFont="1" applyFill="1" applyBorder="1" applyAlignment="1">
      <alignment horizontal="justify" vertical="top" wrapText="1"/>
    </xf>
    <xf numFmtId="49" fontId="65" fillId="0" borderId="11" xfId="0" applyNumberFormat="1" applyFont="1" applyFill="1" applyBorder="1" applyAlignment="1">
      <alignment horizontal="center" vertical="top" wrapText="1"/>
    </xf>
    <xf numFmtId="196" fontId="65" fillId="0" borderId="11" xfId="63" applyNumberFormat="1" applyFont="1" applyFill="1" applyBorder="1" applyAlignment="1">
      <alignment vertical="top"/>
      <protection locked="0"/>
    </xf>
    <xf numFmtId="196" fontId="67" fillId="0" borderId="11" xfId="0" applyNumberFormat="1" applyFont="1" applyFill="1" applyBorder="1" applyAlignment="1">
      <alignment horizontal="right" vertical="top" wrapText="1"/>
    </xf>
    <xf numFmtId="196" fontId="68" fillId="0" borderId="0" xfId="0" applyNumberFormat="1" applyFont="1" applyFill="1" applyAlignment="1">
      <alignment/>
    </xf>
    <xf numFmtId="196" fontId="65" fillId="0" borderId="11" xfId="63" applyNumberFormat="1" applyFont="1" applyFill="1" applyBorder="1" applyAlignment="1">
      <alignment horizontal="right" vertical="top"/>
      <protection locked="0"/>
    </xf>
    <xf numFmtId="196" fontId="67" fillId="0" borderId="11" xfId="0" applyNumberFormat="1" applyFont="1" applyFill="1" applyBorder="1" applyAlignment="1">
      <alignment horizontal="right" vertical="top"/>
    </xf>
    <xf numFmtId="49" fontId="69" fillId="0" borderId="11" xfId="0" applyNumberFormat="1" applyFont="1" applyFill="1" applyBorder="1" applyAlignment="1">
      <alignment horizontal="right" vertical="justify"/>
    </xf>
    <xf numFmtId="0" fontId="67" fillId="0" borderId="11" xfId="0" applyFont="1" applyFill="1" applyBorder="1" applyAlignment="1">
      <alignment horizontal="right" vertical="top"/>
    </xf>
    <xf numFmtId="0" fontId="66" fillId="0" borderId="11" xfId="0" applyFont="1" applyFill="1" applyBorder="1" applyAlignment="1">
      <alignment vertical="justify"/>
    </xf>
    <xf numFmtId="0" fontId="65" fillId="0" borderId="11" xfId="0" applyFont="1" applyFill="1" applyBorder="1" applyAlignment="1">
      <alignment vertical="justify"/>
    </xf>
    <xf numFmtId="0" fontId="65" fillId="0" borderId="11" xfId="0" applyFont="1" applyFill="1" applyBorder="1" applyAlignment="1">
      <alignment horizontal="justify" vertical="top" wrapText="1"/>
    </xf>
    <xf numFmtId="4" fontId="65" fillId="0" borderId="11" xfId="0" applyNumberFormat="1" applyFont="1" applyFill="1" applyBorder="1" applyAlignment="1">
      <alignment horizontal="right" vertical="top"/>
    </xf>
    <xf numFmtId="49" fontId="64" fillId="0" borderId="11" xfId="0" applyNumberFormat="1" applyFont="1" applyFill="1" applyBorder="1" applyAlignment="1">
      <alignment horizontal="right" vertical="justify"/>
    </xf>
    <xf numFmtId="4" fontId="67" fillId="0" borderId="11" xfId="0" applyNumberFormat="1" applyFont="1" applyFill="1" applyBorder="1" applyAlignment="1">
      <alignment horizontal="right" vertical="top"/>
    </xf>
    <xf numFmtId="0" fontId="64" fillId="0" borderId="11" xfId="0" applyFont="1" applyFill="1" applyBorder="1" applyAlignment="1">
      <alignment horizontal="justify" vertical="top" wrapText="1"/>
    </xf>
    <xf numFmtId="49" fontId="64" fillId="34" borderId="11" xfId="0" applyNumberFormat="1" applyFont="1" applyFill="1" applyBorder="1" applyAlignment="1">
      <alignment horizontal="right" vertical="justify"/>
    </xf>
    <xf numFmtId="0" fontId="64" fillId="34" borderId="11" xfId="0" applyFont="1" applyFill="1" applyBorder="1" applyAlignment="1">
      <alignment vertical="justify"/>
    </xf>
    <xf numFmtId="0" fontId="64" fillId="34" borderId="11" xfId="0" applyFont="1" applyFill="1" applyBorder="1" applyAlignment="1">
      <alignment horizontal="justify" vertical="top" wrapText="1"/>
    </xf>
    <xf numFmtId="49" fontId="64" fillId="34" borderId="11" xfId="0" applyNumberFormat="1" applyFont="1" applyFill="1" applyBorder="1" applyAlignment="1">
      <alignment horizontal="center" vertical="top" wrapText="1"/>
    </xf>
    <xf numFmtId="4" fontId="67" fillId="34" borderId="11" xfId="0" applyNumberFormat="1" applyFont="1" applyFill="1" applyBorder="1" applyAlignment="1">
      <alignment horizontal="right" vertical="top"/>
    </xf>
    <xf numFmtId="196" fontId="67" fillId="34" borderId="11" xfId="0" applyNumberFormat="1" applyFont="1" applyFill="1" applyBorder="1" applyAlignment="1">
      <alignment horizontal="right" vertical="top"/>
    </xf>
    <xf numFmtId="0" fontId="68" fillId="34" borderId="0" xfId="0" applyFont="1" applyFill="1" applyAlignment="1">
      <alignment/>
    </xf>
    <xf numFmtId="0" fontId="65" fillId="34" borderId="11" xfId="0" applyNumberFormat="1" applyFont="1" applyFill="1" applyBorder="1" applyAlignment="1">
      <alignment horizontal="justify" vertical="top" wrapText="1"/>
    </xf>
    <xf numFmtId="0" fontId="66" fillId="0" borderId="11" xfId="0" applyFont="1" applyFill="1" applyBorder="1" applyAlignment="1">
      <alignment horizontal="justify" vertical="top"/>
    </xf>
    <xf numFmtId="49" fontId="66" fillId="0" borderId="11" xfId="0" applyNumberFormat="1" applyFont="1" applyFill="1" applyBorder="1" applyAlignment="1">
      <alignment horizontal="center" vertical="top"/>
    </xf>
    <xf numFmtId="0" fontId="65" fillId="0" borderId="0" xfId="0" applyFont="1" applyFill="1" applyAlignment="1">
      <alignment/>
    </xf>
    <xf numFmtId="4" fontId="66" fillId="0" borderId="11" xfId="0" applyNumberFormat="1" applyFont="1" applyFill="1" applyBorder="1" applyAlignment="1">
      <alignment horizontal="right" vertical="top"/>
    </xf>
    <xf numFmtId="0" fontId="65" fillId="0" borderId="11" xfId="0" applyFont="1" applyFill="1" applyBorder="1" applyAlignment="1">
      <alignment horizontal="justify" vertical="top"/>
    </xf>
    <xf numFmtId="0" fontId="70" fillId="0" borderId="11" xfId="0" applyFont="1" applyFill="1" applyBorder="1" applyAlignment="1">
      <alignment horizontal="right" vertical="top"/>
    </xf>
    <xf numFmtId="0" fontId="71" fillId="0" borderId="0" xfId="0" applyFont="1" applyFill="1" applyAlignment="1">
      <alignment/>
    </xf>
    <xf numFmtId="49" fontId="67" fillId="0" borderId="11" xfId="0" applyNumberFormat="1" applyFont="1" applyFill="1" applyBorder="1" applyAlignment="1">
      <alignment horizontal="right" vertical="justify"/>
    </xf>
    <xf numFmtId="0" fontId="67" fillId="0" borderId="11" xfId="0" applyFont="1" applyFill="1" applyBorder="1" applyAlignment="1">
      <alignment horizontal="justify" vertical="top" wrapText="1"/>
    </xf>
    <xf numFmtId="49" fontId="67" fillId="0" borderId="11" xfId="0" applyNumberFormat="1" applyFont="1" applyFill="1" applyBorder="1" applyAlignment="1">
      <alignment horizontal="center" vertical="top" wrapText="1"/>
    </xf>
    <xf numFmtId="0" fontId="67" fillId="0" borderId="11" xfId="0" applyNumberFormat="1" applyFont="1" applyFill="1" applyBorder="1" applyAlignment="1">
      <alignment horizontal="justify" vertical="top" wrapText="1"/>
    </xf>
    <xf numFmtId="0" fontId="67" fillId="0" borderId="11" xfId="0" applyFont="1" applyFill="1" applyBorder="1" applyAlignment="1">
      <alignment horizontal="left" vertical="justify"/>
    </xf>
    <xf numFmtId="4" fontId="67" fillId="0" borderId="11" xfId="63" applyNumberFormat="1" applyFont="1" applyFill="1" applyBorder="1" applyAlignment="1">
      <alignment horizontal="right" vertical="top"/>
      <protection locked="0"/>
    </xf>
    <xf numFmtId="0" fontId="72" fillId="0" borderId="0" xfId="0" applyFont="1" applyFill="1" applyAlignment="1">
      <alignment/>
    </xf>
    <xf numFmtId="0" fontId="65" fillId="0" borderId="11" xfId="0" applyFont="1" applyFill="1" applyBorder="1" applyAlignment="1">
      <alignment horizontal="left" vertical="justify" wrapText="1"/>
    </xf>
    <xf numFmtId="0" fontId="64" fillId="0" borderId="11" xfId="0" applyFont="1" applyFill="1" applyBorder="1" applyAlignment="1">
      <alignment horizontal="left" vertical="justify" wrapText="1"/>
    </xf>
    <xf numFmtId="4" fontId="64" fillId="0" borderId="11" xfId="0" applyNumberFormat="1" applyFont="1" applyFill="1" applyBorder="1" applyAlignment="1">
      <alignment horizontal="right" vertical="top"/>
    </xf>
    <xf numFmtId="4" fontId="65" fillId="0" borderId="11" xfId="63" applyNumberFormat="1" applyFont="1" applyFill="1" applyBorder="1" applyAlignment="1">
      <alignment horizontal="right" vertical="top"/>
      <protection locked="0"/>
    </xf>
    <xf numFmtId="49" fontId="65" fillId="0" borderId="11" xfId="0" applyNumberFormat="1" applyFont="1" applyFill="1" applyBorder="1" applyAlignment="1">
      <alignment horizontal="right" vertical="justify" wrapText="1"/>
    </xf>
    <xf numFmtId="49" fontId="67" fillId="0" borderId="11" xfId="0" applyNumberFormat="1" applyFont="1" applyFill="1" applyBorder="1" applyAlignment="1">
      <alignment horizontal="right" vertical="justify" wrapText="1"/>
    </xf>
    <xf numFmtId="0" fontId="67" fillId="0" borderId="11" xfId="0" applyFont="1" applyFill="1" applyBorder="1" applyAlignment="1">
      <alignment vertical="justify" wrapText="1"/>
    </xf>
    <xf numFmtId="49" fontId="66" fillId="0" borderId="11" xfId="0" applyNumberFormat="1" applyFont="1" applyFill="1" applyBorder="1" applyAlignment="1">
      <alignment horizontal="right" vertical="justify" wrapText="1"/>
    </xf>
    <xf numFmtId="4" fontId="66" fillId="0" borderId="11" xfId="63" applyNumberFormat="1" applyFont="1" applyFill="1" applyBorder="1" applyAlignment="1">
      <alignment vertical="top"/>
      <protection locked="0"/>
    </xf>
    <xf numFmtId="0" fontId="64" fillId="0" borderId="11" xfId="0" applyFont="1" applyFill="1" applyBorder="1" applyAlignment="1">
      <alignment horizontal="right" vertical="top"/>
    </xf>
    <xf numFmtId="196" fontId="67" fillId="35" borderId="11" xfId="0" applyNumberFormat="1" applyFont="1" applyFill="1" applyBorder="1" applyAlignment="1">
      <alignment horizontal="right" vertical="top"/>
    </xf>
    <xf numFmtId="0" fontId="68" fillId="35" borderId="0" xfId="0" applyFont="1" applyFill="1" applyAlignment="1">
      <alignment/>
    </xf>
    <xf numFmtId="0" fontId="64" fillId="35" borderId="11" xfId="0" applyFont="1" applyFill="1" applyBorder="1" applyAlignment="1">
      <alignment horizontal="right" vertical="top"/>
    </xf>
    <xf numFmtId="4" fontId="68" fillId="35" borderId="0" xfId="0" applyNumberFormat="1" applyFont="1" applyFill="1" applyAlignment="1">
      <alignment/>
    </xf>
    <xf numFmtId="4" fontId="67" fillId="0" borderId="11" xfId="63" applyNumberFormat="1" applyFont="1" applyFill="1" applyBorder="1" applyAlignment="1">
      <alignment vertical="top"/>
      <protection locked="0"/>
    </xf>
    <xf numFmtId="0" fontId="65" fillId="0" borderId="11" xfId="0" applyFont="1" applyFill="1" applyBorder="1" applyAlignment="1">
      <alignment horizontal="left" vertical="top"/>
    </xf>
    <xf numFmtId="0" fontId="64" fillId="0" borderId="11" xfId="0" applyFont="1" applyFill="1" applyBorder="1" applyAlignment="1">
      <alignment horizontal="left" vertical="top"/>
    </xf>
    <xf numFmtId="4" fontId="66" fillId="0" borderId="11" xfId="0" applyNumberFormat="1" applyFont="1" applyFill="1" applyBorder="1" applyAlignment="1">
      <alignment vertical="top"/>
    </xf>
    <xf numFmtId="0" fontId="64" fillId="0" borderId="11" xfId="0" applyFont="1" applyFill="1" applyBorder="1" applyAlignment="1">
      <alignment horizontal="left" vertical="top" wrapText="1"/>
    </xf>
    <xf numFmtId="4" fontId="67" fillId="0" borderId="11" xfId="0" applyNumberFormat="1" applyFont="1" applyFill="1" applyBorder="1" applyAlignment="1">
      <alignment vertical="top"/>
    </xf>
    <xf numFmtId="0" fontId="65" fillId="0" borderId="11" xfId="0" applyFont="1" applyFill="1" applyBorder="1" applyAlignment="1">
      <alignment horizontal="left" vertical="top" wrapText="1"/>
    </xf>
    <xf numFmtId="4" fontId="65" fillId="0" borderId="11" xfId="0" applyNumberFormat="1" applyFont="1" applyFill="1" applyBorder="1" applyAlignment="1">
      <alignment vertical="top"/>
    </xf>
    <xf numFmtId="0" fontId="65" fillId="0" borderId="11" xfId="54" applyNumberFormat="1" applyFont="1" applyFill="1" applyBorder="1" applyAlignment="1">
      <alignment horizontal="justify" vertical="top" wrapText="1"/>
      <protection/>
    </xf>
    <xf numFmtId="49" fontId="65" fillId="0" borderId="11" xfId="54" applyNumberFormat="1" applyFont="1" applyFill="1" applyBorder="1" applyAlignment="1">
      <alignment horizontal="center" vertical="top" wrapText="1"/>
      <protection/>
    </xf>
    <xf numFmtId="4" fontId="64" fillId="0" borderId="11" xfId="0" applyNumberFormat="1" applyFont="1" applyFill="1" applyBorder="1" applyAlignment="1">
      <alignment vertical="top"/>
    </xf>
    <xf numFmtId="49" fontId="64" fillId="0" borderId="11" xfId="55" applyNumberFormat="1" applyFont="1" applyFill="1" applyBorder="1" applyAlignment="1">
      <alignment horizontal="justify" vertical="top" wrapText="1"/>
      <protection/>
    </xf>
    <xf numFmtId="49" fontId="64" fillId="0" borderId="11" xfId="55" applyNumberFormat="1" applyFont="1" applyFill="1" applyBorder="1" applyAlignment="1">
      <alignment horizontal="center" vertical="top" wrapText="1"/>
      <protection/>
    </xf>
    <xf numFmtId="2" fontId="64" fillId="0" borderId="11" xfId="0" applyNumberFormat="1" applyFont="1" applyFill="1" applyBorder="1" applyAlignment="1">
      <alignment horizontal="right" vertical="top" wrapText="1"/>
    </xf>
    <xf numFmtId="0" fontId="73" fillId="0" borderId="0" xfId="0" applyFont="1" applyFill="1" applyAlignment="1">
      <alignment/>
    </xf>
    <xf numFmtId="0" fontId="66" fillId="0" borderId="11" xfId="0" applyFont="1" applyFill="1" applyBorder="1" applyAlignment="1">
      <alignment horizontal="left" vertical="top" wrapText="1"/>
    </xf>
    <xf numFmtId="0" fontId="65" fillId="0" borderId="11" xfId="0" applyFont="1" applyFill="1" applyBorder="1" applyAlignment="1">
      <alignment vertical="top"/>
    </xf>
    <xf numFmtId="0" fontId="74" fillId="0" borderId="11" xfId="0" applyFont="1" applyFill="1" applyBorder="1" applyAlignment="1">
      <alignment horizontal="right" vertical="top"/>
    </xf>
    <xf numFmtId="0" fontId="75" fillId="0" borderId="0" xfId="0" applyFont="1" applyFill="1" applyAlignment="1">
      <alignment/>
    </xf>
    <xf numFmtId="4" fontId="65" fillId="34" borderId="11" xfId="0" applyNumberFormat="1" applyFont="1" applyFill="1" applyBorder="1" applyAlignment="1">
      <alignment vertical="top"/>
    </xf>
    <xf numFmtId="0" fontId="68" fillId="0" borderId="11" xfId="0" applyFont="1" applyFill="1" applyBorder="1" applyAlignment="1">
      <alignment horizontal="right" vertical="top"/>
    </xf>
    <xf numFmtId="0" fontId="76" fillId="0" borderId="0" xfId="0" applyFont="1" applyFill="1" applyAlignment="1">
      <alignment horizontal="right"/>
    </xf>
    <xf numFmtId="49" fontId="68" fillId="0" borderId="0" xfId="0" applyNumberFormat="1" applyFont="1" applyFill="1" applyAlignment="1">
      <alignment horizontal="center" vertical="top"/>
    </xf>
    <xf numFmtId="4" fontId="76" fillId="0" borderId="0" xfId="0" applyNumberFormat="1" applyFont="1" applyFill="1" applyAlignment="1">
      <alignment/>
    </xf>
    <xf numFmtId="49" fontId="76" fillId="0" borderId="0" xfId="0" applyNumberFormat="1" applyFont="1" applyFill="1" applyAlignment="1">
      <alignment horizontal="center" vertical="top"/>
    </xf>
    <xf numFmtId="0" fontId="77" fillId="0" borderId="0" xfId="0" applyFont="1" applyFill="1" applyAlignment="1">
      <alignment horizontal="right"/>
    </xf>
    <xf numFmtId="49" fontId="77" fillId="0" borderId="0" xfId="0" applyNumberFormat="1" applyFont="1" applyFill="1" applyAlignment="1">
      <alignment horizontal="center" vertical="top"/>
    </xf>
    <xf numFmtId="4" fontId="78" fillId="0" borderId="0" xfId="0" applyNumberFormat="1" applyFont="1" applyFill="1" applyAlignment="1">
      <alignment/>
    </xf>
    <xf numFmtId="4" fontId="6" fillId="0" borderId="11" xfId="63" applyNumberFormat="1" applyFont="1" applyFill="1" applyBorder="1" applyAlignment="1">
      <alignment horizontal="right" vertical="top"/>
      <protection locked="0"/>
    </xf>
    <xf numFmtId="0" fontId="10" fillId="0" borderId="0" xfId="54" applyFont="1" applyAlignment="1">
      <alignment/>
      <protection/>
    </xf>
    <xf numFmtId="0" fontId="11" fillId="0" borderId="0" xfId="54" applyFont="1" applyAlignment="1">
      <alignment/>
      <protection/>
    </xf>
    <xf numFmtId="0" fontId="7" fillId="0" borderId="0" xfId="0" applyFont="1" applyAlignment="1">
      <alignment horizontal="left"/>
    </xf>
    <xf numFmtId="49" fontId="65" fillId="0" borderId="14" xfId="0" applyNumberFormat="1" applyFont="1" applyFill="1" applyBorder="1" applyAlignment="1">
      <alignment horizontal="center" vertical="center" wrapText="1"/>
    </xf>
    <xf numFmtId="49" fontId="65" fillId="0" borderId="15" xfId="0" applyNumberFormat="1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0" fontId="68" fillId="0" borderId="14" xfId="0" applyFont="1" applyFill="1" applyBorder="1" applyAlignment="1">
      <alignment horizontal="center" vertical="center"/>
    </xf>
    <xf numFmtId="0" fontId="68" fillId="0" borderId="15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65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0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9.140625" defaultRowHeight="12.75"/>
  <cols>
    <col min="1" max="1" width="4.421875" style="2" customWidth="1"/>
    <col min="2" max="2" width="23.57421875" style="2" customWidth="1"/>
    <col min="3" max="3" width="75.140625" style="2" customWidth="1"/>
    <col min="4" max="4" width="9.7109375" style="9" hidden="1" customWidth="1"/>
    <col min="5" max="5" width="19.00390625" style="1" customWidth="1"/>
    <col min="6" max="6" width="19.421875" style="7" customWidth="1"/>
    <col min="7" max="7" width="14.8515625" style="0" customWidth="1"/>
    <col min="8" max="8" width="20.421875" style="0" hidden="1" customWidth="1"/>
    <col min="9" max="9" width="13.8515625" style="0" bestFit="1" customWidth="1"/>
    <col min="11" max="11" width="14.421875" style="0" bestFit="1" customWidth="1"/>
  </cols>
  <sheetData>
    <row r="1" spans="2:8" ht="15.75">
      <c r="B1" s="10"/>
      <c r="C1" s="4"/>
      <c r="D1" s="4"/>
      <c r="E1" s="120" t="s">
        <v>346</v>
      </c>
      <c r="F1" s="119"/>
      <c r="G1" s="119"/>
      <c r="H1" s="4"/>
    </row>
    <row r="2" spans="2:8" ht="15.75">
      <c r="B2" s="10"/>
      <c r="C2" s="4"/>
      <c r="D2" s="4"/>
      <c r="E2" s="121" t="s">
        <v>401</v>
      </c>
      <c r="F2" s="119"/>
      <c r="G2" s="119"/>
      <c r="H2" s="4"/>
    </row>
    <row r="3" spans="2:8" ht="15.75">
      <c r="B3" s="10"/>
      <c r="C3" s="4"/>
      <c r="D3" s="4"/>
      <c r="E3" s="121" t="s">
        <v>402</v>
      </c>
      <c r="F3" s="119"/>
      <c r="G3" s="119"/>
      <c r="H3" s="4"/>
    </row>
    <row r="4" spans="2:8" ht="15.75">
      <c r="B4" s="10"/>
      <c r="C4" s="4"/>
      <c r="D4" s="4"/>
      <c r="E4" s="121" t="s">
        <v>403</v>
      </c>
      <c r="F4" s="119"/>
      <c r="G4" s="119"/>
      <c r="H4" s="4"/>
    </row>
    <row r="5" spans="2:8" ht="15.75">
      <c r="B5" s="10"/>
      <c r="C5" s="4"/>
      <c r="D5" s="4"/>
      <c r="E5" s="121" t="s">
        <v>405</v>
      </c>
      <c r="F5" s="11"/>
      <c r="G5" s="11"/>
      <c r="H5" s="12"/>
    </row>
    <row r="6" spans="2:8" ht="15.75">
      <c r="B6" s="10"/>
      <c r="C6" s="4"/>
      <c r="D6" s="4"/>
      <c r="E6" s="13"/>
      <c r="F6" s="13"/>
      <c r="G6" s="13"/>
      <c r="H6" s="12"/>
    </row>
    <row r="7" spans="2:8" ht="15.75">
      <c r="B7" s="10"/>
      <c r="C7" s="4"/>
      <c r="D7" s="4"/>
      <c r="E7" s="13"/>
      <c r="F7" s="13"/>
      <c r="G7" s="13"/>
      <c r="H7" s="12"/>
    </row>
    <row r="8" spans="2:8" ht="18.75" customHeight="1">
      <c r="B8" s="128" t="s">
        <v>364</v>
      </c>
      <c r="C8" s="128"/>
      <c r="D8" s="128"/>
      <c r="E8" s="128"/>
      <c r="F8" s="128"/>
      <c r="G8" s="128"/>
      <c r="H8" s="4"/>
    </row>
    <row r="9" spans="2:8" ht="14.25" customHeight="1">
      <c r="B9" s="3"/>
      <c r="C9" s="4"/>
      <c r="D9" s="5"/>
      <c r="E9" s="8"/>
      <c r="F9" s="5"/>
      <c r="G9" s="6"/>
      <c r="H9" s="5" t="s">
        <v>209</v>
      </c>
    </row>
    <row r="10" spans="1:8" s="24" customFormat="1" ht="15" customHeight="1" thickBot="1">
      <c r="A10" s="129" t="s">
        <v>0</v>
      </c>
      <c r="B10" s="129"/>
      <c r="C10" s="129" t="s">
        <v>1</v>
      </c>
      <c r="D10" s="122" t="s">
        <v>243</v>
      </c>
      <c r="E10" s="124" t="s">
        <v>85</v>
      </c>
      <c r="F10" s="124"/>
      <c r="G10" s="124"/>
      <c r="H10" s="125" t="s">
        <v>240</v>
      </c>
    </row>
    <row r="11" spans="1:8" s="24" customFormat="1" ht="31.5" customHeight="1">
      <c r="A11" s="129"/>
      <c r="B11" s="129"/>
      <c r="C11" s="129"/>
      <c r="D11" s="123"/>
      <c r="E11" s="25" t="s">
        <v>404</v>
      </c>
      <c r="F11" s="25" t="s">
        <v>365</v>
      </c>
      <c r="G11" s="26" t="s">
        <v>210</v>
      </c>
      <c r="H11" s="126"/>
    </row>
    <row r="12" spans="1:8" s="24" customFormat="1" ht="15">
      <c r="A12" s="124">
        <v>1</v>
      </c>
      <c r="B12" s="124"/>
      <c r="C12" s="27">
        <v>2</v>
      </c>
      <c r="D12" s="28"/>
      <c r="E12" s="27">
        <v>3</v>
      </c>
      <c r="F12" s="27">
        <v>4</v>
      </c>
      <c r="G12" s="27">
        <v>5</v>
      </c>
      <c r="H12" s="29"/>
    </row>
    <row r="13" spans="1:9" s="24" customFormat="1" ht="18.75" customHeight="1">
      <c r="A13" s="30" t="s">
        <v>2</v>
      </c>
      <c r="B13" s="31" t="s">
        <v>3</v>
      </c>
      <c r="C13" s="32" t="s">
        <v>86</v>
      </c>
      <c r="D13" s="33" t="s">
        <v>279</v>
      </c>
      <c r="E13" s="19">
        <f>E14+E26+E50+E59+E72+E94+E107+E147+E79+E53+E105+E20+E41</f>
        <v>231197094.5</v>
      </c>
      <c r="F13" s="19">
        <f>F14+F26+F50+F59+F72+F94+F107+F147+F79+F53+F105+F20+F41</f>
        <v>219512470.57000002</v>
      </c>
      <c r="G13" s="19">
        <f>F13/E13*100</f>
        <v>94.94603340268189</v>
      </c>
      <c r="H13" s="34"/>
      <c r="I13" s="35"/>
    </row>
    <row r="14" spans="1:8" s="24" customFormat="1" ht="18.75" customHeight="1">
      <c r="A14" s="30" t="s">
        <v>2</v>
      </c>
      <c r="B14" s="31" t="s">
        <v>4</v>
      </c>
      <c r="C14" s="32" t="s">
        <v>87</v>
      </c>
      <c r="D14" s="33" t="s">
        <v>247</v>
      </c>
      <c r="E14" s="19">
        <f>E15</f>
        <v>97862450.4</v>
      </c>
      <c r="F14" s="19">
        <f>F15</f>
        <v>96593340.76</v>
      </c>
      <c r="G14" s="19">
        <f>F14/E14*100</f>
        <v>98.70316997498767</v>
      </c>
      <c r="H14" s="29"/>
    </row>
    <row r="15" spans="1:8" s="24" customFormat="1" ht="18.75" customHeight="1">
      <c r="A15" s="30" t="s">
        <v>2</v>
      </c>
      <c r="B15" s="20" t="s">
        <v>5</v>
      </c>
      <c r="C15" s="32" t="s">
        <v>6</v>
      </c>
      <c r="D15" s="33" t="s">
        <v>247</v>
      </c>
      <c r="E15" s="19">
        <f>E16+E17+E18+E19</f>
        <v>97862450.4</v>
      </c>
      <c r="F15" s="19">
        <f>F16+F17+F18+F19</f>
        <v>96593340.76</v>
      </c>
      <c r="G15" s="19">
        <f>F15/E15*100</f>
        <v>98.70316997498767</v>
      </c>
      <c r="H15" s="29"/>
    </row>
    <row r="16" spans="1:11" s="24" customFormat="1" ht="59.25" customHeight="1">
      <c r="A16" s="36" t="s">
        <v>2</v>
      </c>
      <c r="B16" s="37" t="s">
        <v>7</v>
      </c>
      <c r="C16" s="38" t="s">
        <v>65</v>
      </c>
      <c r="D16" s="39">
        <v>182</v>
      </c>
      <c r="E16" s="40">
        <v>96877976.4</v>
      </c>
      <c r="F16" s="40">
        <f>95304333.14+340960.62+3225.5+3416.99</f>
        <v>95651936.25</v>
      </c>
      <c r="G16" s="19">
        <f>F16/E16*100</f>
        <v>98.7344490506926</v>
      </c>
      <c r="H16" s="41">
        <f>F16-E16</f>
        <v>-1226040.150000006</v>
      </c>
      <c r="I16" s="35"/>
      <c r="K16" s="42"/>
    </row>
    <row r="17" spans="1:9" s="24" customFormat="1" ht="90" customHeight="1">
      <c r="A17" s="36" t="s">
        <v>2</v>
      </c>
      <c r="B17" s="37" t="s">
        <v>8</v>
      </c>
      <c r="C17" s="38" t="s">
        <v>88</v>
      </c>
      <c r="D17" s="39">
        <v>182</v>
      </c>
      <c r="E17" s="43">
        <v>335167.2</v>
      </c>
      <c r="F17" s="43">
        <v>328087.28</v>
      </c>
      <c r="G17" s="19">
        <f>F17/E17*100</f>
        <v>97.88764533045</v>
      </c>
      <c r="H17" s="44">
        <f>F17-E17</f>
        <v>-7079.919999999984</v>
      </c>
      <c r="I17" s="35"/>
    </row>
    <row r="18" spans="1:9" s="24" customFormat="1" ht="34.5" customHeight="1">
      <c r="A18" s="36" t="s">
        <v>2</v>
      </c>
      <c r="B18" s="37" t="s">
        <v>63</v>
      </c>
      <c r="C18" s="38" t="s">
        <v>66</v>
      </c>
      <c r="D18" s="39">
        <v>182</v>
      </c>
      <c r="E18" s="43">
        <v>649306.8</v>
      </c>
      <c r="F18" s="43">
        <v>613317.23</v>
      </c>
      <c r="G18" s="19">
        <f aca="true" t="shared" si="0" ref="G18:G89">F18/E18*100</f>
        <v>94.45723192795762</v>
      </c>
      <c r="H18" s="44">
        <f>F18-E18</f>
        <v>-35989.570000000065</v>
      </c>
      <c r="I18" s="35"/>
    </row>
    <row r="19" spans="1:11" s="24" customFormat="1" ht="1.5" customHeight="1" hidden="1">
      <c r="A19" s="45" t="s">
        <v>2</v>
      </c>
      <c r="B19" s="37" t="s">
        <v>9</v>
      </c>
      <c r="C19" s="38" t="s">
        <v>89</v>
      </c>
      <c r="D19" s="39"/>
      <c r="E19" s="43">
        <v>0</v>
      </c>
      <c r="F19" s="43">
        <v>0</v>
      </c>
      <c r="G19" s="19" t="e">
        <f t="shared" si="0"/>
        <v>#DIV/0!</v>
      </c>
      <c r="H19" s="46"/>
      <c r="K19" s="42"/>
    </row>
    <row r="20" spans="1:8" s="24" customFormat="1" ht="28.5">
      <c r="A20" s="30" t="s">
        <v>2</v>
      </c>
      <c r="B20" s="47" t="s">
        <v>70</v>
      </c>
      <c r="C20" s="21" t="s">
        <v>69</v>
      </c>
      <c r="D20" s="33" t="s">
        <v>278</v>
      </c>
      <c r="E20" s="19">
        <f>E21</f>
        <v>13952922.059999999</v>
      </c>
      <c r="F20" s="19">
        <f>F21</f>
        <v>13863389.49</v>
      </c>
      <c r="G20" s="19">
        <f t="shared" si="0"/>
        <v>99.35832387212518</v>
      </c>
      <c r="H20" s="46"/>
    </row>
    <row r="21" spans="1:8" s="24" customFormat="1" ht="28.5">
      <c r="A21" s="30" t="s">
        <v>2</v>
      </c>
      <c r="B21" s="20" t="s">
        <v>90</v>
      </c>
      <c r="C21" s="32" t="s">
        <v>91</v>
      </c>
      <c r="D21" s="33" t="s">
        <v>278</v>
      </c>
      <c r="E21" s="19">
        <f>E22+E23+E24+E25</f>
        <v>13952922.059999999</v>
      </c>
      <c r="F21" s="19">
        <f>F22+F23+F24+F25</f>
        <v>13863389.49</v>
      </c>
      <c r="G21" s="19">
        <f t="shared" si="0"/>
        <v>99.35832387212518</v>
      </c>
      <c r="H21" s="46"/>
    </row>
    <row r="22" spans="1:8" s="24" customFormat="1" ht="60">
      <c r="A22" s="45" t="s">
        <v>2</v>
      </c>
      <c r="B22" s="48" t="s">
        <v>267</v>
      </c>
      <c r="C22" s="49" t="s">
        <v>71</v>
      </c>
      <c r="D22" s="39">
        <v>100</v>
      </c>
      <c r="E22" s="43">
        <v>6371575.83</v>
      </c>
      <c r="F22" s="40">
        <f>6310264.75+116.65</f>
        <v>6310381.4</v>
      </c>
      <c r="G22" s="19">
        <f t="shared" si="0"/>
        <v>99.03957150267487</v>
      </c>
      <c r="H22" s="44">
        <f>F22-E22</f>
        <v>-61194.4299999997</v>
      </c>
    </row>
    <row r="23" spans="1:8" s="24" customFormat="1" ht="68.25" customHeight="1">
      <c r="A23" s="45" t="s">
        <v>2</v>
      </c>
      <c r="B23" s="48" t="s">
        <v>268</v>
      </c>
      <c r="C23" s="49" t="s">
        <v>72</v>
      </c>
      <c r="D23" s="39">
        <v>100</v>
      </c>
      <c r="E23" s="43">
        <v>46079.09</v>
      </c>
      <c r="F23" s="40">
        <v>46382.96</v>
      </c>
      <c r="G23" s="19">
        <f t="shared" si="0"/>
        <v>100.65945312722104</v>
      </c>
      <c r="H23" s="44">
        <f>F23-E23</f>
        <v>303.8700000000026</v>
      </c>
    </row>
    <row r="24" spans="1:8" s="24" customFormat="1" ht="60">
      <c r="A24" s="45" t="s">
        <v>2</v>
      </c>
      <c r="B24" s="48" t="s">
        <v>269</v>
      </c>
      <c r="C24" s="49" t="s">
        <v>73</v>
      </c>
      <c r="D24" s="39">
        <v>100</v>
      </c>
      <c r="E24" s="43">
        <v>8456925.7</v>
      </c>
      <c r="F24" s="40">
        <v>8430691</v>
      </c>
      <c r="G24" s="19">
        <f t="shared" si="0"/>
        <v>99.68978443313036</v>
      </c>
      <c r="H24" s="46"/>
    </row>
    <row r="25" spans="1:8" s="24" customFormat="1" ht="60">
      <c r="A25" s="45" t="s">
        <v>2</v>
      </c>
      <c r="B25" s="48" t="s">
        <v>270</v>
      </c>
      <c r="C25" s="49" t="s">
        <v>74</v>
      </c>
      <c r="D25" s="39">
        <v>100</v>
      </c>
      <c r="E25" s="43">
        <v>-921658.56</v>
      </c>
      <c r="F25" s="40">
        <f>-924065.93+0.04+0.02</f>
        <v>-924065.87</v>
      </c>
      <c r="G25" s="19">
        <f t="shared" si="0"/>
        <v>100.26119325577577</v>
      </c>
      <c r="H25" s="46"/>
    </row>
    <row r="26" spans="1:8" s="24" customFormat="1" ht="16.5" customHeight="1">
      <c r="A26" s="30" t="s">
        <v>2</v>
      </c>
      <c r="B26" s="47" t="s">
        <v>10</v>
      </c>
      <c r="C26" s="32" t="s">
        <v>11</v>
      </c>
      <c r="D26" s="33" t="s">
        <v>247</v>
      </c>
      <c r="E26" s="19">
        <f>E27+E35+E38</f>
        <v>13857069.219999999</v>
      </c>
      <c r="F26" s="19">
        <f>F27+F35+F38</f>
        <v>13856308.58</v>
      </c>
      <c r="G26" s="19">
        <f t="shared" si="0"/>
        <v>99.9945108161912</v>
      </c>
      <c r="H26" s="46"/>
    </row>
    <row r="27" spans="1:8" s="24" customFormat="1" ht="15">
      <c r="A27" s="36" t="s">
        <v>2</v>
      </c>
      <c r="B27" s="48" t="s">
        <v>92</v>
      </c>
      <c r="C27" s="38" t="s">
        <v>93</v>
      </c>
      <c r="D27" s="39" t="s">
        <v>247</v>
      </c>
      <c r="E27" s="50">
        <f>E28+E32</f>
        <v>13246234.33</v>
      </c>
      <c r="F27" s="50">
        <f>F28+F32</f>
        <v>13205196.690000001</v>
      </c>
      <c r="G27" s="19">
        <f t="shared" si="0"/>
        <v>99.69019391490714</v>
      </c>
      <c r="H27" s="46"/>
    </row>
    <row r="28" spans="1:8" s="24" customFormat="1" ht="15" customHeight="1">
      <c r="A28" s="51" t="s">
        <v>2</v>
      </c>
      <c r="B28" s="16" t="s">
        <v>366</v>
      </c>
      <c r="C28" s="38" t="s">
        <v>52</v>
      </c>
      <c r="D28" s="18">
        <v>182</v>
      </c>
      <c r="E28" s="52">
        <f>E29+E30+E31</f>
        <v>13244354.86</v>
      </c>
      <c r="F28" s="52">
        <f>F29+F30+F31</f>
        <v>13203317.22</v>
      </c>
      <c r="G28" s="19">
        <f t="shared" si="0"/>
        <v>99.69014995117702</v>
      </c>
      <c r="H28" s="44">
        <f>F28-E28</f>
        <v>-41037.63999999873</v>
      </c>
    </row>
    <row r="29" spans="1:8" s="24" customFormat="1" ht="15" customHeight="1">
      <c r="A29" s="51" t="s">
        <v>2</v>
      </c>
      <c r="B29" s="16" t="s">
        <v>367</v>
      </c>
      <c r="C29" s="53" t="s">
        <v>52</v>
      </c>
      <c r="D29" s="18">
        <v>182</v>
      </c>
      <c r="E29" s="52">
        <v>13150000</v>
      </c>
      <c r="F29" s="52">
        <f>13091916.46-811.52+1283</f>
        <v>13092387.940000001</v>
      </c>
      <c r="G29" s="19">
        <f t="shared" si="0"/>
        <v>99.56188547528518</v>
      </c>
      <c r="H29" s="44">
        <f>F29-E29</f>
        <v>-57612.05999999866</v>
      </c>
    </row>
    <row r="30" spans="1:8" s="24" customFormat="1" ht="26.25" customHeight="1">
      <c r="A30" s="51" t="s">
        <v>2</v>
      </c>
      <c r="B30" s="16" t="s">
        <v>368</v>
      </c>
      <c r="C30" s="53" t="s">
        <v>375</v>
      </c>
      <c r="D30" s="18">
        <v>182</v>
      </c>
      <c r="E30" s="52">
        <v>94354.86</v>
      </c>
      <c r="F30" s="52">
        <f>110928.03+1.25</f>
        <v>110929.28</v>
      </c>
      <c r="G30" s="19">
        <f t="shared" si="0"/>
        <v>117.56604800219088</v>
      </c>
      <c r="H30" s="44">
        <f>F30-E30</f>
        <v>16574.42</v>
      </c>
    </row>
    <row r="31" spans="1:8" s="60" customFormat="1" ht="23.25" customHeight="1" hidden="1">
      <c r="A31" s="54" t="s">
        <v>2</v>
      </c>
      <c r="B31" s="55" t="s">
        <v>376</v>
      </c>
      <c r="C31" s="56" t="s">
        <v>52</v>
      </c>
      <c r="D31" s="57">
        <v>182</v>
      </c>
      <c r="E31" s="58">
        <v>0</v>
      </c>
      <c r="F31" s="58"/>
      <c r="G31" s="19" t="e">
        <f t="shared" si="0"/>
        <v>#DIV/0!</v>
      </c>
      <c r="H31" s="59">
        <f>F31-E31</f>
        <v>0</v>
      </c>
    </row>
    <row r="32" spans="1:8" s="60" customFormat="1" ht="30.75" customHeight="1">
      <c r="A32" s="54" t="s">
        <v>2</v>
      </c>
      <c r="B32" s="55" t="s">
        <v>53</v>
      </c>
      <c r="C32" s="61" t="s">
        <v>54</v>
      </c>
      <c r="D32" s="57">
        <v>182</v>
      </c>
      <c r="E32" s="58">
        <f>E33+E34</f>
        <v>1879.47</v>
      </c>
      <c r="F32" s="58">
        <f>F33+F34</f>
        <v>1879.47</v>
      </c>
      <c r="G32" s="19">
        <f t="shared" si="0"/>
        <v>100</v>
      </c>
      <c r="H32" s="59"/>
    </row>
    <row r="33" spans="1:8" s="60" customFormat="1" ht="22.5" customHeight="1" hidden="1">
      <c r="A33" s="54" t="s">
        <v>2</v>
      </c>
      <c r="B33" s="55" t="s">
        <v>377</v>
      </c>
      <c r="C33" s="56" t="s">
        <v>54</v>
      </c>
      <c r="D33" s="57">
        <v>182</v>
      </c>
      <c r="E33" s="58">
        <v>0</v>
      </c>
      <c r="F33" s="58">
        <v>0</v>
      </c>
      <c r="G33" s="19" t="e">
        <f t="shared" si="0"/>
        <v>#DIV/0!</v>
      </c>
      <c r="H33" s="59"/>
    </row>
    <row r="34" spans="1:8" s="60" customFormat="1" ht="27.75" customHeight="1">
      <c r="A34" s="54" t="s">
        <v>2</v>
      </c>
      <c r="B34" s="55" t="s">
        <v>370</v>
      </c>
      <c r="C34" s="56" t="s">
        <v>369</v>
      </c>
      <c r="D34" s="57">
        <v>182</v>
      </c>
      <c r="E34" s="58">
        <v>1879.47</v>
      </c>
      <c r="F34" s="58">
        <f>543.21+99.75+314.4+6.93+19.61+0.86+887.72+6.93+0.06</f>
        <v>1879.47</v>
      </c>
      <c r="G34" s="19">
        <f t="shared" si="0"/>
        <v>100</v>
      </c>
      <c r="H34" s="59"/>
    </row>
    <row r="35" spans="1:8" s="24" customFormat="1" ht="16.5" customHeight="1">
      <c r="A35" s="36" t="s">
        <v>2</v>
      </c>
      <c r="B35" s="48" t="s">
        <v>94</v>
      </c>
      <c r="C35" s="38" t="s">
        <v>12</v>
      </c>
      <c r="D35" s="39" t="s">
        <v>247</v>
      </c>
      <c r="E35" s="50">
        <f>E36+E37</f>
        <v>143970.37</v>
      </c>
      <c r="F35" s="50">
        <f>F36+F37</f>
        <v>143970.37</v>
      </c>
      <c r="G35" s="19">
        <f t="shared" si="0"/>
        <v>100</v>
      </c>
      <c r="H35" s="46"/>
    </row>
    <row r="36" spans="1:8" s="24" customFormat="1" ht="15.75" customHeight="1">
      <c r="A36" s="51" t="s">
        <v>2</v>
      </c>
      <c r="B36" s="16" t="s">
        <v>347</v>
      </c>
      <c r="C36" s="53" t="s">
        <v>12</v>
      </c>
      <c r="D36" s="18">
        <v>182</v>
      </c>
      <c r="E36" s="52">
        <v>137601</v>
      </c>
      <c r="F36" s="52">
        <v>137601</v>
      </c>
      <c r="G36" s="19">
        <f t="shared" si="0"/>
        <v>100</v>
      </c>
      <c r="H36" s="46"/>
    </row>
    <row r="37" spans="1:8" s="24" customFormat="1" ht="15">
      <c r="A37" s="51" t="s">
        <v>2</v>
      </c>
      <c r="B37" s="16" t="s">
        <v>378</v>
      </c>
      <c r="C37" s="53" t="s">
        <v>12</v>
      </c>
      <c r="D37" s="18"/>
      <c r="E37" s="52">
        <v>6369.37</v>
      </c>
      <c r="F37" s="52">
        <v>6369.37</v>
      </c>
      <c r="G37" s="19">
        <f t="shared" si="0"/>
        <v>100</v>
      </c>
      <c r="H37" s="46"/>
    </row>
    <row r="38" spans="1:8" s="24" customFormat="1" ht="15.75" customHeight="1">
      <c r="A38" s="36" t="s">
        <v>2</v>
      </c>
      <c r="B38" s="48" t="s">
        <v>67</v>
      </c>
      <c r="C38" s="49" t="s">
        <v>68</v>
      </c>
      <c r="D38" s="39" t="s">
        <v>247</v>
      </c>
      <c r="E38" s="50">
        <f>E39+E40</f>
        <v>466864.52</v>
      </c>
      <c r="F38" s="50">
        <f>F39+F40</f>
        <v>507141.52</v>
      </c>
      <c r="G38" s="19">
        <f t="shared" si="0"/>
        <v>108.62712805847829</v>
      </c>
      <c r="H38" s="46"/>
    </row>
    <row r="39" spans="1:8" s="24" customFormat="1" ht="25.5" customHeight="1">
      <c r="A39" s="51" t="s">
        <v>2</v>
      </c>
      <c r="B39" s="16" t="s">
        <v>379</v>
      </c>
      <c r="C39" s="53" t="s">
        <v>158</v>
      </c>
      <c r="D39" s="18">
        <v>182</v>
      </c>
      <c r="E39" s="52">
        <v>457257</v>
      </c>
      <c r="F39" s="52">
        <v>497523</v>
      </c>
      <c r="G39" s="19">
        <f>F39/E39*100</f>
        <v>108.80598875468282</v>
      </c>
      <c r="H39" s="46"/>
    </row>
    <row r="40" spans="1:8" s="24" customFormat="1" ht="24.75" customHeight="1">
      <c r="A40" s="51" t="s">
        <v>2</v>
      </c>
      <c r="B40" s="16" t="s">
        <v>380</v>
      </c>
      <c r="C40" s="53" t="s">
        <v>158</v>
      </c>
      <c r="D40" s="18">
        <v>182</v>
      </c>
      <c r="E40" s="52">
        <v>9607.52</v>
      </c>
      <c r="F40" s="52">
        <f>9613.02+5.5</f>
        <v>9618.52</v>
      </c>
      <c r="G40" s="19">
        <f t="shared" si="0"/>
        <v>100.11449364664347</v>
      </c>
      <c r="H40" s="46"/>
    </row>
    <row r="41" spans="1:8" s="64" customFormat="1" ht="14.25" customHeight="1">
      <c r="A41" s="30" t="s">
        <v>2</v>
      </c>
      <c r="B41" s="31" t="s">
        <v>13</v>
      </c>
      <c r="C41" s="62" t="s">
        <v>14</v>
      </c>
      <c r="D41" s="63" t="s">
        <v>247</v>
      </c>
      <c r="E41" s="19">
        <f>E42+E45</f>
        <v>44176659.25</v>
      </c>
      <c r="F41" s="19">
        <f>F42+F45</f>
        <v>42860161.09</v>
      </c>
      <c r="G41" s="19">
        <f t="shared" si="0"/>
        <v>97.01992368288917</v>
      </c>
      <c r="H41" s="46"/>
    </row>
    <row r="42" spans="1:8" s="64" customFormat="1" ht="16.5" customHeight="1">
      <c r="A42" s="30" t="s">
        <v>2</v>
      </c>
      <c r="B42" s="47" t="s">
        <v>15</v>
      </c>
      <c r="C42" s="62" t="s">
        <v>16</v>
      </c>
      <c r="D42" s="63" t="s">
        <v>247</v>
      </c>
      <c r="E42" s="65">
        <f>E43+E44</f>
        <v>10198000</v>
      </c>
      <c r="F42" s="65">
        <f>F43+F44</f>
        <v>10459419.099999998</v>
      </c>
      <c r="G42" s="19">
        <f t="shared" si="0"/>
        <v>102.56343498725238</v>
      </c>
      <c r="H42" s="46"/>
    </row>
    <row r="43" spans="1:8" s="64" customFormat="1" ht="30.75" customHeight="1">
      <c r="A43" s="36" t="s">
        <v>2</v>
      </c>
      <c r="B43" s="48" t="s">
        <v>381</v>
      </c>
      <c r="C43" s="66" t="s">
        <v>190</v>
      </c>
      <c r="D43" s="28">
        <v>182</v>
      </c>
      <c r="E43" s="50">
        <v>10198000</v>
      </c>
      <c r="F43" s="50">
        <f>10267359.2+27867.79</f>
        <v>10295226.989999998</v>
      </c>
      <c r="G43" s="19">
        <f>F43/E43*100</f>
        <v>100.95339272406352</v>
      </c>
      <c r="H43" s="52">
        <f>F43-E43</f>
        <v>97226.98999999836</v>
      </c>
    </row>
    <row r="44" spans="1:8" s="64" customFormat="1" ht="33" customHeight="1">
      <c r="A44" s="36" t="s">
        <v>2</v>
      </c>
      <c r="B44" s="48" t="s">
        <v>371</v>
      </c>
      <c r="C44" s="66" t="s">
        <v>190</v>
      </c>
      <c r="D44" s="28">
        <v>182</v>
      </c>
      <c r="E44" s="50">
        <v>0</v>
      </c>
      <c r="F44" s="50">
        <f>163693.24+498.87</f>
        <v>164192.11</v>
      </c>
      <c r="G44" s="118" t="s">
        <v>363</v>
      </c>
      <c r="H44" s="52">
        <f>F44-E44</f>
        <v>164192.11</v>
      </c>
    </row>
    <row r="45" spans="1:8" s="64" customFormat="1" ht="18" customHeight="1">
      <c r="A45" s="30" t="s">
        <v>2</v>
      </c>
      <c r="B45" s="47" t="s">
        <v>17</v>
      </c>
      <c r="C45" s="31" t="s">
        <v>18</v>
      </c>
      <c r="D45" s="63"/>
      <c r="E45" s="65">
        <f>E46+E49</f>
        <v>33978659.25</v>
      </c>
      <c r="F45" s="65">
        <f>F46+F49</f>
        <v>32400741.990000002</v>
      </c>
      <c r="G45" s="19">
        <f>F45/E45*100</f>
        <v>95.35615208242804</v>
      </c>
      <c r="H45" s="46"/>
    </row>
    <row r="46" spans="1:8" s="64" customFormat="1" ht="32.25" customHeight="1">
      <c r="A46" s="36" t="s">
        <v>2</v>
      </c>
      <c r="B46" s="48" t="s">
        <v>191</v>
      </c>
      <c r="C46" s="49" t="s">
        <v>156</v>
      </c>
      <c r="D46" s="39">
        <v>182</v>
      </c>
      <c r="E46" s="50">
        <f>E47+E48</f>
        <v>22245659.25</v>
      </c>
      <c r="F46" s="50">
        <f>F47+F48</f>
        <v>21525859.41</v>
      </c>
      <c r="G46" s="19">
        <f t="shared" si="0"/>
        <v>96.76431328956907</v>
      </c>
      <c r="H46" s="44">
        <f>F46-E46</f>
        <v>-719799.8399999999</v>
      </c>
    </row>
    <row r="47" spans="1:8" s="64" customFormat="1" ht="32.25" customHeight="1">
      <c r="A47" s="36" t="s">
        <v>2</v>
      </c>
      <c r="B47" s="48" t="s">
        <v>382</v>
      </c>
      <c r="C47" s="49" t="s">
        <v>156</v>
      </c>
      <c r="D47" s="39">
        <v>182</v>
      </c>
      <c r="E47" s="50">
        <v>20642453.43</v>
      </c>
      <c r="F47" s="50">
        <v>19890498.72</v>
      </c>
      <c r="G47" s="19">
        <f>F47/E47*100</f>
        <v>96.3572415820148</v>
      </c>
      <c r="H47" s="44">
        <f>F47-E47</f>
        <v>-751954.7100000009</v>
      </c>
    </row>
    <row r="48" spans="1:8" s="64" customFormat="1" ht="31.5" customHeight="1">
      <c r="A48" s="36" t="s">
        <v>2</v>
      </c>
      <c r="B48" s="48" t="s">
        <v>383</v>
      </c>
      <c r="C48" s="49" t="s">
        <v>156</v>
      </c>
      <c r="D48" s="39">
        <v>182</v>
      </c>
      <c r="E48" s="50">
        <v>1603205.82</v>
      </c>
      <c r="F48" s="50">
        <f>1609875.79+10767.46+14845.61-128.17</f>
        <v>1635360.6900000002</v>
      </c>
      <c r="G48" s="19">
        <f>F48/E48*100</f>
        <v>102.00566075789321</v>
      </c>
      <c r="H48" s="44">
        <f>F48-E48</f>
        <v>32154.87000000011</v>
      </c>
    </row>
    <row r="49" spans="1:8" s="64" customFormat="1" ht="32.25" customHeight="1">
      <c r="A49" s="36" t="s">
        <v>2</v>
      </c>
      <c r="B49" s="48" t="s">
        <v>192</v>
      </c>
      <c r="C49" s="49" t="s">
        <v>157</v>
      </c>
      <c r="D49" s="39">
        <v>182</v>
      </c>
      <c r="E49" s="50">
        <v>11733000</v>
      </c>
      <c r="F49" s="50">
        <f>10641997.27+221461.8-1009+12212+220.51</f>
        <v>10874882.58</v>
      </c>
      <c r="G49" s="19">
        <f t="shared" si="0"/>
        <v>92.68629148555357</v>
      </c>
      <c r="H49" s="44">
        <f>F49-E49</f>
        <v>-858117.4199999999</v>
      </c>
    </row>
    <row r="50" spans="1:8" s="24" customFormat="1" ht="17.25" customHeight="1">
      <c r="A50" s="30" t="s">
        <v>2</v>
      </c>
      <c r="B50" s="47" t="s">
        <v>19</v>
      </c>
      <c r="C50" s="32" t="s">
        <v>20</v>
      </c>
      <c r="D50" s="33" t="s">
        <v>247</v>
      </c>
      <c r="E50" s="19">
        <f>E51+E52</f>
        <v>2874123.98</v>
      </c>
      <c r="F50" s="19">
        <f>F51+F52</f>
        <v>3058263.17</v>
      </c>
      <c r="G50" s="19">
        <f t="shared" si="0"/>
        <v>106.40679355801485</v>
      </c>
      <c r="H50" s="46"/>
    </row>
    <row r="51" spans="1:8" s="24" customFormat="1" ht="45.75" customHeight="1">
      <c r="A51" s="36" t="s">
        <v>2</v>
      </c>
      <c r="B51" s="48" t="s">
        <v>21</v>
      </c>
      <c r="C51" s="38" t="s">
        <v>22</v>
      </c>
      <c r="D51" s="39">
        <v>182</v>
      </c>
      <c r="E51" s="50">
        <v>2874123.98</v>
      </c>
      <c r="F51" s="50">
        <f>3052054.06+6209.11</f>
        <v>3058263.17</v>
      </c>
      <c r="G51" s="19">
        <f t="shared" si="0"/>
        <v>106.40679355801485</v>
      </c>
      <c r="H51" s="44">
        <f>F51-E51</f>
        <v>184139.18999999994</v>
      </c>
    </row>
    <row r="52" spans="1:8" s="24" customFormat="1" ht="27" customHeight="1" hidden="1">
      <c r="A52" s="36" t="s">
        <v>2</v>
      </c>
      <c r="B52" s="48" t="s">
        <v>23</v>
      </c>
      <c r="C52" s="38" t="s">
        <v>24</v>
      </c>
      <c r="D52" s="39"/>
      <c r="E52" s="50"/>
      <c r="F52" s="50"/>
      <c r="G52" s="19" t="e">
        <f t="shared" si="0"/>
        <v>#DIV/0!</v>
      </c>
      <c r="H52" s="46"/>
    </row>
    <row r="53" spans="1:8" s="68" customFormat="1" ht="31.5" customHeight="1">
      <c r="A53" s="30" t="s">
        <v>2</v>
      </c>
      <c r="B53" s="47" t="s">
        <v>84</v>
      </c>
      <c r="C53" s="32" t="s">
        <v>95</v>
      </c>
      <c r="D53" s="33"/>
      <c r="E53" s="65">
        <f>E55+E54</f>
        <v>27132.81</v>
      </c>
      <c r="F53" s="65">
        <f>F55+F54</f>
        <v>35955.71</v>
      </c>
      <c r="G53" s="19">
        <f t="shared" si="0"/>
        <v>132.51745764629612</v>
      </c>
      <c r="H53" s="67"/>
    </row>
    <row r="54" spans="1:8" s="68" customFormat="1" ht="30" customHeight="1">
      <c r="A54" s="36" t="s">
        <v>2</v>
      </c>
      <c r="B54" s="48" t="s">
        <v>348</v>
      </c>
      <c r="C54" s="49" t="s">
        <v>349</v>
      </c>
      <c r="D54" s="39" t="s">
        <v>247</v>
      </c>
      <c r="E54" s="50">
        <v>27132.81</v>
      </c>
      <c r="F54" s="50">
        <v>35955.71</v>
      </c>
      <c r="G54" s="19">
        <f t="shared" si="0"/>
        <v>132.51745764629612</v>
      </c>
      <c r="H54" s="67"/>
    </row>
    <row r="55" spans="1:8" s="68" customFormat="1" ht="1.5" customHeight="1" hidden="1">
      <c r="A55" s="36" t="s">
        <v>2</v>
      </c>
      <c r="B55" s="48" t="s">
        <v>81</v>
      </c>
      <c r="C55" s="49" t="s">
        <v>96</v>
      </c>
      <c r="D55" s="39"/>
      <c r="E55" s="50">
        <f>E57+E58+E56</f>
        <v>0</v>
      </c>
      <c r="F55" s="50">
        <f>F57+F58+F56</f>
        <v>0</v>
      </c>
      <c r="G55" s="19" t="e">
        <f t="shared" si="0"/>
        <v>#DIV/0!</v>
      </c>
      <c r="H55" s="67"/>
    </row>
    <row r="56" spans="1:8" s="68" customFormat="1" ht="15" customHeight="1" hidden="1">
      <c r="A56" s="69" t="s">
        <v>2</v>
      </c>
      <c r="B56" s="22" t="s">
        <v>97</v>
      </c>
      <c r="C56" s="70" t="s">
        <v>159</v>
      </c>
      <c r="D56" s="71"/>
      <c r="E56" s="52">
        <v>0</v>
      </c>
      <c r="F56" s="52">
        <v>0</v>
      </c>
      <c r="G56" s="19" t="e">
        <f t="shared" si="0"/>
        <v>#DIV/0!</v>
      </c>
      <c r="H56" s="67"/>
    </row>
    <row r="57" spans="1:8" s="24" customFormat="1" ht="27" customHeight="1" hidden="1">
      <c r="A57" s="69" t="s">
        <v>2</v>
      </c>
      <c r="B57" s="22" t="s">
        <v>98</v>
      </c>
      <c r="C57" s="72" t="s">
        <v>160</v>
      </c>
      <c r="D57" s="71"/>
      <c r="E57" s="52">
        <v>0</v>
      </c>
      <c r="F57" s="52">
        <v>0</v>
      </c>
      <c r="G57" s="19" t="e">
        <f t="shared" si="0"/>
        <v>#DIV/0!</v>
      </c>
      <c r="H57" s="46"/>
    </row>
    <row r="58" spans="1:8" s="24" customFormat="1" ht="27" customHeight="1" hidden="1">
      <c r="A58" s="69" t="s">
        <v>2</v>
      </c>
      <c r="B58" s="22" t="s">
        <v>99</v>
      </c>
      <c r="C58" s="70" t="s">
        <v>161</v>
      </c>
      <c r="D58" s="71"/>
      <c r="E58" s="52">
        <v>0</v>
      </c>
      <c r="F58" s="52">
        <v>0</v>
      </c>
      <c r="G58" s="19" t="e">
        <f t="shared" si="0"/>
        <v>#DIV/0!</v>
      </c>
      <c r="H58" s="46"/>
    </row>
    <row r="59" spans="1:9" s="24" customFormat="1" ht="30.75" customHeight="1">
      <c r="A59" s="30" t="s">
        <v>2</v>
      </c>
      <c r="B59" s="31" t="s">
        <v>25</v>
      </c>
      <c r="C59" s="32" t="s">
        <v>26</v>
      </c>
      <c r="D59" s="33" t="s">
        <v>244</v>
      </c>
      <c r="E59" s="19">
        <f>E62+E60+E68+E70</f>
        <v>32899851.59</v>
      </c>
      <c r="F59" s="19">
        <f>F62+F60+F68+F70</f>
        <v>31218416.259999998</v>
      </c>
      <c r="G59" s="19">
        <f t="shared" si="0"/>
        <v>94.88923126172679</v>
      </c>
      <c r="H59" s="46"/>
      <c r="I59" s="35"/>
    </row>
    <row r="60" spans="1:8" s="24" customFormat="1" ht="1.5" customHeight="1" hidden="1">
      <c r="A60" s="30" t="s">
        <v>2</v>
      </c>
      <c r="B60" s="31" t="s">
        <v>100</v>
      </c>
      <c r="C60" s="32" t="s">
        <v>101</v>
      </c>
      <c r="D60" s="33"/>
      <c r="E60" s="19">
        <f>E61</f>
        <v>0</v>
      </c>
      <c r="F60" s="19">
        <f>F61</f>
        <v>0</v>
      </c>
      <c r="G60" s="19" t="e">
        <f t="shared" si="0"/>
        <v>#DIV/0!</v>
      </c>
      <c r="H60" s="46"/>
    </row>
    <row r="61" spans="1:8" s="75" customFormat="1" ht="27" customHeight="1" hidden="1">
      <c r="A61" s="69" t="s">
        <v>2</v>
      </c>
      <c r="B61" s="73" t="s">
        <v>102</v>
      </c>
      <c r="C61" s="72" t="s">
        <v>162</v>
      </c>
      <c r="D61" s="71"/>
      <c r="E61" s="74">
        <v>0</v>
      </c>
      <c r="F61" s="74">
        <v>0</v>
      </c>
      <c r="G61" s="19" t="e">
        <f t="shared" si="0"/>
        <v>#DIV/0!</v>
      </c>
      <c r="H61" s="46"/>
    </row>
    <row r="62" spans="1:8" s="24" customFormat="1" ht="75">
      <c r="A62" s="36" t="s">
        <v>2</v>
      </c>
      <c r="B62" s="76" t="s">
        <v>103</v>
      </c>
      <c r="C62" s="38" t="s">
        <v>104</v>
      </c>
      <c r="D62" s="39" t="s">
        <v>244</v>
      </c>
      <c r="E62" s="50">
        <f>E63+E66+E65+E67</f>
        <v>30720091.59</v>
      </c>
      <c r="F62" s="50">
        <f>F63+F66+F65+F67</f>
        <v>29102265.619999997</v>
      </c>
      <c r="G62" s="19">
        <f t="shared" si="0"/>
        <v>94.73365512189216</v>
      </c>
      <c r="H62" s="46"/>
    </row>
    <row r="63" spans="1:8" s="24" customFormat="1" ht="60" customHeight="1">
      <c r="A63" s="36" t="s">
        <v>2</v>
      </c>
      <c r="B63" s="76" t="s">
        <v>193</v>
      </c>
      <c r="C63" s="38" t="s">
        <v>105</v>
      </c>
      <c r="D63" s="39" t="s">
        <v>244</v>
      </c>
      <c r="E63" s="50">
        <f>E64</f>
        <v>28229788.59</v>
      </c>
      <c r="F63" s="50">
        <f>F64</f>
        <v>27077240.259999998</v>
      </c>
      <c r="G63" s="19">
        <f t="shared" si="0"/>
        <v>95.91726191527954</v>
      </c>
      <c r="H63" s="46"/>
    </row>
    <row r="64" spans="1:8" s="24" customFormat="1" ht="51" customHeight="1">
      <c r="A64" s="51" t="s">
        <v>2</v>
      </c>
      <c r="B64" s="77" t="s">
        <v>194</v>
      </c>
      <c r="C64" s="23" t="s">
        <v>196</v>
      </c>
      <c r="D64" s="18" t="s">
        <v>244</v>
      </c>
      <c r="E64" s="78">
        <v>28229788.59</v>
      </c>
      <c r="F64" s="78">
        <f>27063495.81+13744.45</f>
        <v>27077240.259999998</v>
      </c>
      <c r="G64" s="19">
        <f t="shared" si="0"/>
        <v>95.91726191527954</v>
      </c>
      <c r="H64" s="46"/>
    </row>
    <row r="65" spans="1:8" s="24" customFormat="1" ht="60" customHeight="1">
      <c r="A65" s="36" t="s">
        <v>2</v>
      </c>
      <c r="B65" s="37" t="s">
        <v>195</v>
      </c>
      <c r="C65" s="38" t="s">
        <v>145</v>
      </c>
      <c r="D65" s="39" t="s">
        <v>244</v>
      </c>
      <c r="E65" s="50">
        <v>355470</v>
      </c>
      <c r="F65" s="50">
        <f>136228.06+9251.28+66667+26966+745+3062.16+12233.35+16072+1660+2636+256.5+3497.96+829.98+19326.15</f>
        <v>299431.44</v>
      </c>
      <c r="G65" s="19">
        <f t="shared" si="0"/>
        <v>84.23536163389316</v>
      </c>
      <c r="H65" s="46"/>
    </row>
    <row r="66" spans="1:8" s="24" customFormat="1" ht="45" customHeight="1">
      <c r="A66" s="36" t="s">
        <v>2</v>
      </c>
      <c r="B66" s="37" t="s">
        <v>197</v>
      </c>
      <c r="C66" s="38" t="s">
        <v>146</v>
      </c>
      <c r="D66" s="39" t="s">
        <v>244</v>
      </c>
      <c r="E66" s="79">
        <v>182793</v>
      </c>
      <c r="F66" s="79">
        <f>140925+12627+8307+8307+2160+8307+2160</f>
        <v>182793</v>
      </c>
      <c r="G66" s="19">
        <f t="shared" si="0"/>
        <v>100</v>
      </c>
      <c r="H66" s="46"/>
    </row>
    <row r="67" spans="1:8" s="24" customFormat="1" ht="30.75" customHeight="1">
      <c r="A67" s="36" t="s">
        <v>2</v>
      </c>
      <c r="B67" s="37" t="s">
        <v>198</v>
      </c>
      <c r="C67" s="38" t="s">
        <v>147</v>
      </c>
      <c r="D67" s="39" t="s">
        <v>244</v>
      </c>
      <c r="E67" s="79">
        <v>1952040</v>
      </c>
      <c r="F67" s="79">
        <v>1542800.92</v>
      </c>
      <c r="G67" s="19">
        <f t="shared" si="0"/>
        <v>79.03531280096719</v>
      </c>
      <c r="H67" s="46"/>
    </row>
    <row r="68" spans="1:8" s="24" customFormat="1" ht="36.75" customHeight="1" hidden="1">
      <c r="A68" s="80" t="s">
        <v>2</v>
      </c>
      <c r="B68" s="76" t="s">
        <v>384</v>
      </c>
      <c r="C68" s="49" t="s">
        <v>385</v>
      </c>
      <c r="D68" s="39"/>
      <c r="E68" s="79">
        <f>E69</f>
        <v>0</v>
      </c>
      <c r="F68" s="79">
        <f>F69</f>
        <v>0</v>
      </c>
      <c r="G68" s="19" t="e">
        <f t="shared" si="0"/>
        <v>#DIV/0!</v>
      </c>
      <c r="H68" s="46"/>
    </row>
    <row r="69" spans="1:8" s="24" customFormat="1" ht="36.75" customHeight="1" hidden="1">
      <c r="A69" s="81" t="s">
        <v>2</v>
      </c>
      <c r="B69" s="82" t="s">
        <v>386</v>
      </c>
      <c r="C69" s="72" t="s">
        <v>387</v>
      </c>
      <c r="D69" s="71"/>
      <c r="E69" s="74">
        <v>0</v>
      </c>
      <c r="F69" s="74">
        <v>0</v>
      </c>
      <c r="G69" s="19" t="e">
        <f t="shared" si="0"/>
        <v>#DIV/0!</v>
      </c>
      <c r="H69" s="46"/>
    </row>
    <row r="70" spans="1:8" s="24" customFormat="1" ht="42.75" customHeight="1">
      <c r="A70" s="83" t="s">
        <v>2</v>
      </c>
      <c r="B70" s="20" t="s">
        <v>106</v>
      </c>
      <c r="C70" s="21" t="s">
        <v>372</v>
      </c>
      <c r="D70" s="33"/>
      <c r="E70" s="19">
        <f>E71</f>
        <v>2179760</v>
      </c>
      <c r="F70" s="19">
        <f>F71</f>
        <v>2116150.64</v>
      </c>
      <c r="G70" s="19">
        <f t="shared" si="0"/>
        <v>97.08181818181819</v>
      </c>
      <c r="H70" s="46"/>
    </row>
    <row r="71" spans="1:8" s="24" customFormat="1" ht="57.75" customHeight="1">
      <c r="A71" s="81" t="s">
        <v>2</v>
      </c>
      <c r="B71" s="22" t="s">
        <v>373</v>
      </c>
      <c r="C71" s="23" t="s">
        <v>374</v>
      </c>
      <c r="D71" s="71"/>
      <c r="E71" s="74">
        <v>2179760</v>
      </c>
      <c r="F71" s="74">
        <f>2113175.43+1875.04+1100.17</f>
        <v>2116150.64</v>
      </c>
      <c r="G71" s="19">
        <f t="shared" si="0"/>
        <v>97.08181818181819</v>
      </c>
      <c r="H71" s="46"/>
    </row>
    <row r="72" spans="1:8" s="24" customFormat="1" ht="17.25" customHeight="1">
      <c r="A72" s="30" t="s">
        <v>2</v>
      </c>
      <c r="B72" s="47" t="s">
        <v>27</v>
      </c>
      <c r="C72" s="32" t="s">
        <v>28</v>
      </c>
      <c r="D72" s="33" t="s">
        <v>245</v>
      </c>
      <c r="E72" s="84">
        <f>E73</f>
        <v>1508222.52</v>
      </c>
      <c r="F72" s="84">
        <f>F73</f>
        <v>1413984.96</v>
      </c>
      <c r="G72" s="19">
        <f t="shared" si="0"/>
        <v>93.75174692392207</v>
      </c>
      <c r="H72" s="46"/>
    </row>
    <row r="73" spans="1:8" s="24" customFormat="1" ht="15.75" customHeight="1">
      <c r="A73" s="36" t="s">
        <v>2</v>
      </c>
      <c r="B73" s="48" t="s">
        <v>29</v>
      </c>
      <c r="C73" s="38" t="s">
        <v>30</v>
      </c>
      <c r="D73" s="39" t="s">
        <v>245</v>
      </c>
      <c r="E73" s="15">
        <f>SUM(E74:E78)</f>
        <v>1508222.52</v>
      </c>
      <c r="F73" s="15">
        <f>SUM(F74:F78)</f>
        <v>1413984.96</v>
      </c>
      <c r="G73" s="19">
        <f t="shared" si="0"/>
        <v>93.75174692392207</v>
      </c>
      <c r="H73" s="46"/>
    </row>
    <row r="74" spans="1:8" s="24" customFormat="1" ht="30">
      <c r="A74" s="36" t="s">
        <v>2</v>
      </c>
      <c r="B74" s="48" t="s">
        <v>56</v>
      </c>
      <c r="C74" s="38" t="s">
        <v>57</v>
      </c>
      <c r="D74" s="39" t="s">
        <v>245</v>
      </c>
      <c r="E74" s="15">
        <v>175541.48</v>
      </c>
      <c r="F74" s="15">
        <v>177083.97</v>
      </c>
      <c r="G74" s="19">
        <f t="shared" si="0"/>
        <v>100.8787039963432</v>
      </c>
      <c r="H74" s="46"/>
    </row>
    <row r="75" spans="1:8" s="24" customFormat="1" ht="15.75" customHeight="1" hidden="1">
      <c r="A75" s="36" t="s">
        <v>2</v>
      </c>
      <c r="B75" s="48" t="s">
        <v>58</v>
      </c>
      <c r="C75" s="38" t="s">
        <v>59</v>
      </c>
      <c r="D75" s="39"/>
      <c r="E75" s="15">
        <v>0</v>
      </c>
      <c r="F75" s="15">
        <v>0</v>
      </c>
      <c r="G75" s="19" t="e">
        <f t="shared" si="0"/>
        <v>#DIV/0!</v>
      </c>
      <c r="H75" s="46"/>
    </row>
    <row r="76" spans="1:8" s="24" customFormat="1" ht="15.75" customHeight="1">
      <c r="A76" s="36" t="s">
        <v>2</v>
      </c>
      <c r="B76" s="48" t="s">
        <v>60</v>
      </c>
      <c r="C76" s="38" t="s">
        <v>107</v>
      </c>
      <c r="D76" s="39" t="s">
        <v>245</v>
      </c>
      <c r="E76" s="15">
        <v>1441098.65</v>
      </c>
      <c r="F76" s="15">
        <v>1344652.49</v>
      </c>
      <c r="G76" s="19">
        <f t="shared" si="0"/>
        <v>93.30745608567464</v>
      </c>
      <c r="H76" s="46"/>
    </row>
    <row r="77" spans="1:8" s="24" customFormat="1" ht="15.75" customHeight="1">
      <c r="A77" s="36" t="s">
        <v>2</v>
      </c>
      <c r="B77" s="48" t="s">
        <v>235</v>
      </c>
      <c r="C77" s="38" t="s">
        <v>236</v>
      </c>
      <c r="D77" s="39" t="s">
        <v>245</v>
      </c>
      <c r="E77" s="15">
        <v>-108791.38</v>
      </c>
      <c r="F77" s="15">
        <v>-108125.27</v>
      </c>
      <c r="G77" s="19">
        <f t="shared" si="0"/>
        <v>99.38771803427808</v>
      </c>
      <c r="H77" s="46"/>
    </row>
    <row r="78" spans="1:8" s="24" customFormat="1" ht="15.75" customHeight="1">
      <c r="A78" s="36" t="s">
        <v>2</v>
      </c>
      <c r="B78" s="48" t="s">
        <v>242</v>
      </c>
      <c r="C78" s="38" t="s">
        <v>237</v>
      </c>
      <c r="D78" s="39" t="s">
        <v>245</v>
      </c>
      <c r="E78" s="15">
        <v>373.77</v>
      </c>
      <c r="F78" s="15">
        <f>208.77+165</f>
        <v>373.77</v>
      </c>
      <c r="G78" s="19">
        <f t="shared" si="0"/>
        <v>100</v>
      </c>
      <c r="H78" s="46"/>
    </row>
    <row r="79" spans="1:8" s="24" customFormat="1" ht="28.5">
      <c r="A79" s="30" t="s">
        <v>2</v>
      </c>
      <c r="B79" s="47" t="s">
        <v>31</v>
      </c>
      <c r="C79" s="32" t="s">
        <v>108</v>
      </c>
      <c r="D79" s="33"/>
      <c r="E79" s="84">
        <f>E80+E81+E85+E84</f>
        <v>2913880.0300000003</v>
      </c>
      <c r="F79" s="84">
        <f>F80+F81+F85+F84</f>
        <v>3023710.5999999996</v>
      </c>
      <c r="G79" s="19">
        <f t="shared" si="0"/>
        <v>103.76922072526094</v>
      </c>
      <c r="H79" s="85"/>
    </row>
    <row r="80" spans="1:8" s="24" customFormat="1" ht="0.75" customHeight="1">
      <c r="A80" s="36" t="s">
        <v>2</v>
      </c>
      <c r="B80" s="48" t="s">
        <v>55</v>
      </c>
      <c r="C80" s="38" t="s">
        <v>148</v>
      </c>
      <c r="D80" s="39"/>
      <c r="E80" s="15">
        <v>0</v>
      </c>
      <c r="F80" s="15">
        <v>0</v>
      </c>
      <c r="G80" s="19" t="e">
        <f t="shared" si="0"/>
        <v>#DIV/0!</v>
      </c>
      <c r="H80" s="85"/>
    </row>
    <row r="81" spans="1:8" s="24" customFormat="1" ht="28.5" customHeight="1">
      <c r="A81" s="36" t="s">
        <v>2</v>
      </c>
      <c r="B81" s="48" t="s">
        <v>199</v>
      </c>
      <c r="C81" s="38" t="s">
        <v>231</v>
      </c>
      <c r="D81" s="39"/>
      <c r="E81" s="15">
        <f>E82+E83</f>
        <v>59710</v>
      </c>
      <c r="F81" s="15">
        <f>F82+F83</f>
        <v>65650</v>
      </c>
      <c r="G81" s="19">
        <f t="shared" si="0"/>
        <v>109.94808239825824</v>
      </c>
      <c r="H81" s="85"/>
    </row>
    <row r="82" spans="1:8" s="24" customFormat="1" ht="14.25" customHeight="1" hidden="1">
      <c r="A82" s="51" t="s">
        <v>2</v>
      </c>
      <c r="B82" s="16" t="s">
        <v>199</v>
      </c>
      <c r="C82" s="17" t="s">
        <v>232</v>
      </c>
      <c r="D82" s="18" t="s">
        <v>246</v>
      </c>
      <c r="E82" s="14">
        <v>0</v>
      </c>
      <c r="F82" s="14">
        <v>0</v>
      </c>
      <c r="G82" s="19" t="e">
        <f t="shared" si="0"/>
        <v>#DIV/0!</v>
      </c>
      <c r="H82" s="85"/>
    </row>
    <row r="83" spans="1:8" s="24" customFormat="1" ht="17.25" customHeight="1">
      <c r="A83" s="51" t="s">
        <v>2</v>
      </c>
      <c r="B83" s="16" t="s">
        <v>199</v>
      </c>
      <c r="C83" s="17" t="s">
        <v>233</v>
      </c>
      <c r="D83" s="18" t="s">
        <v>244</v>
      </c>
      <c r="E83" s="14">
        <v>59710</v>
      </c>
      <c r="F83" s="14">
        <v>65650</v>
      </c>
      <c r="G83" s="19">
        <f t="shared" si="0"/>
        <v>109.94808239825824</v>
      </c>
      <c r="H83" s="44">
        <f>F83-E83</f>
        <v>5940</v>
      </c>
    </row>
    <row r="84" spans="1:8" s="24" customFormat="1" ht="30">
      <c r="A84" s="36" t="s">
        <v>2</v>
      </c>
      <c r="B84" s="48" t="s">
        <v>200</v>
      </c>
      <c r="C84" s="38" t="s">
        <v>148</v>
      </c>
      <c r="D84" s="39" t="s">
        <v>246</v>
      </c>
      <c r="E84" s="15">
        <v>55749.49</v>
      </c>
      <c r="F84" s="15">
        <v>67036.77</v>
      </c>
      <c r="G84" s="19">
        <f t="shared" si="0"/>
        <v>120.24642736642078</v>
      </c>
      <c r="H84" s="44">
        <f>F84-E84</f>
        <v>11287.280000000006</v>
      </c>
    </row>
    <row r="85" spans="1:8" s="24" customFormat="1" ht="16.5" customHeight="1">
      <c r="A85" s="36" t="s">
        <v>2</v>
      </c>
      <c r="B85" s="48" t="s">
        <v>201</v>
      </c>
      <c r="C85" s="38" t="s">
        <v>228</v>
      </c>
      <c r="D85" s="39"/>
      <c r="E85" s="15">
        <f>E87+E89+E90+E88+E86+E91+E92</f>
        <v>2798420.54</v>
      </c>
      <c r="F85" s="15">
        <f>F86+F87+F89+F90+F88+F91+F92+F93</f>
        <v>2891023.8299999996</v>
      </c>
      <c r="G85" s="19">
        <f t="shared" si="0"/>
        <v>103.30912701205372</v>
      </c>
      <c r="H85" s="85"/>
    </row>
    <row r="86" spans="1:8" s="87" customFormat="1" ht="15" customHeight="1">
      <c r="A86" s="69" t="s">
        <v>2</v>
      </c>
      <c r="B86" s="16" t="s">
        <v>229</v>
      </c>
      <c r="C86" s="17" t="s">
        <v>241</v>
      </c>
      <c r="D86" s="18"/>
      <c r="E86" s="14">
        <v>647747.65</v>
      </c>
      <c r="F86" s="14">
        <f>97546.7+62867.84+1824.31+475063.6</f>
        <v>637302.45</v>
      </c>
      <c r="G86" s="19">
        <f t="shared" si="0"/>
        <v>98.38745844928961</v>
      </c>
      <c r="H86" s="86">
        <f>F86-E86</f>
        <v>-10445.20000000007</v>
      </c>
    </row>
    <row r="87" spans="1:8" s="87" customFormat="1" ht="15" customHeight="1">
      <c r="A87" s="51" t="s">
        <v>2</v>
      </c>
      <c r="B87" s="16" t="s">
        <v>229</v>
      </c>
      <c r="C87" s="17" t="s">
        <v>230</v>
      </c>
      <c r="D87" s="18" t="s">
        <v>246</v>
      </c>
      <c r="E87" s="14">
        <v>231450</v>
      </c>
      <c r="F87" s="14">
        <f>57862.5+57862.5+57862.5+57862.5</f>
        <v>231450</v>
      </c>
      <c r="G87" s="19">
        <f t="shared" si="0"/>
        <v>100</v>
      </c>
      <c r="H87" s="88"/>
    </row>
    <row r="88" spans="1:8" s="87" customFormat="1" ht="15" customHeight="1">
      <c r="A88" s="51" t="s">
        <v>2</v>
      </c>
      <c r="B88" s="16" t="s">
        <v>201</v>
      </c>
      <c r="C88" s="17" t="s">
        <v>350</v>
      </c>
      <c r="D88" s="18" t="s">
        <v>246</v>
      </c>
      <c r="E88" s="14">
        <v>160414.54</v>
      </c>
      <c r="F88" s="14">
        <v>160414.54</v>
      </c>
      <c r="G88" s="19">
        <f t="shared" si="0"/>
        <v>100</v>
      </c>
      <c r="H88" s="88"/>
    </row>
    <row r="89" spans="1:8" s="87" customFormat="1" ht="15" customHeight="1">
      <c r="A89" s="51" t="s">
        <v>2</v>
      </c>
      <c r="B89" s="16" t="s">
        <v>229</v>
      </c>
      <c r="C89" s="17" t="s">
        <v>272</v>
      </c>
      <c r="D89" s="18" t="s">
        <v>246</v>
      </c>
      <c r="E89" s="14">
        <f>791940+60852.8</f>
        <v>852792.8</v>
      </c>
      <c r="F89" s="14">
        <f>10000+169540+100320+10000+10000+450000+60852.8+20000+42080+20000+10000+10000+10000+66000+10000</f>
        <v>998792.8</v>
      </c>
      <c r="G89" s="19">
        <f t="shared" si="0"/>
        <v>117.12021958909598</v>
      </c>
      <c r="H89" s="88"/>
    </row>
    <row r="90" spans="1:9" s="87" customFormat="1" ht="15" customHeight="1">
      <c r="A90" s="51" t="s">
        <v>2</v>
      </c>
      <c r="B90" s="16" t="s">
        <v>229</v>
      </c>
      <c r="C90" s="17" t="s">
        <v>273</v>
      </c>
      <c r="D90" s="18" t="s">
        <v>246</v>
      </c>
      <c r="E90" s="14">
        <f>387072.4+302759.6</f>
        <v>689832</v>
      </c>
      <c r="F90" s="14">
        <f>387072.4+302759.6</f>
        <v>689832</v>
      </c>
      <c r="G90" s="19">
        <f>F90/E90*100</f>
        <v>100</v>
      </c>
      <c r="H90" s="86">
        <f>F90-E90</f>
        <v>0</v>
      </c>
      <c r="I90" s="89"/>
    </row>
    <row r="91" spans="1:9" s="87" customFormat="1" ht="15" customHeight="1">
      <c r="A91" s="51" t="s">
        <v>2</v>
      </c>
      <c r="B91" s="16" t="s">
        <v>229</v>
      </c>
      <c r="C91" s="17" t="s">
        <v>351</v>
      </c>
      <c r="D91" s="18" t="s">
        <v>246</v>
      </c>
      <c r="E91" s="14">
        <v>117899.38</v>
      </c>
      <c r="F91" s="14">
        <v>62678.36</v>
      </c>
      <c r="G91" s="19">
        <f>F91/E91*100</f>
        <v>53.1625866056293</v>
      </c>
      <c r="H91" s="86"/>
      <c r="I91" s="89"/>
    </row>
    <row r="92" spans="1:9" s="87" customFormat="1" ht="15" customHeight="1">
      <c r="A92" s="51" t="s">
        <v>2</v>
      </c>
      <c r="B92" s="16" t="s">
        <v>229</v>
      </c>
      <c r="C92" s="17" t="s">
        <v>351</v>
      </c>
      <c r="D92" s="18" t="s">
        <v>244</v>
      </c>
      <c r="E92" s="14">
        <v>98284.17</v>
      </c>
      <c r="F92" s="14">
        <f>97452.85+831.32</f>
        <v>98284.17000000001</v>
      </c>
      <c r="G92" s="19">
        <f>F92/E92*100</f>
        <v>100.00000000000003</v>
      </c>
      <c r="H92" s="86"/>
      <c r="I92" s="89"/>
    </row>
    <row r="93" spans="1:9" s="87" customFormat="1" ht="15" customHeight="1">
      <c r="A93" s="51" t="s">
        <v>2</v>
      </c>
      <c r="B93" s="16" t="s">
        <v>229</v>
      </c>
      <c r="C93" s="17" t="s">
        <v>351</v>
      </c>
      <c r="D93" s="18" t="s">
        <v>329</v>
      </c>
      <c r="E93" s="14">
        <v>12269.51</v>
      </c>
      <c r="F93" s="14">
        <v>12269.51</v>
      </c>
      <c r="G93" s="19">
        <f>F93/E93*100</f>
        <v>100</v>
      </c>
      <c r="H93" s="86"/>
      <c r="I93" s="89"/>
    </row>
    <row r="94" spans="1:9" s="24" customFormat="1" ht="30" customHeight="1">
      <c r="A94" s="30" t="s">
        <v>2</v>
      </c>
      <c r="B94" s="47" t="s">
        <v>32</v>
      </c>
      <c r="C94" s="32" t="s">
        <v>33</v>
      </c>
      <c r="D94" s="33"/>
      <c r="E94" s="84">
        <f>E95+E97+E103</f>
        <v>16555605.32</v>
      </c>
      <c r="F94" s="84">
        <f>F95+F97+F103</f>
        <v>8837263.319999998</v>
      </c>
      <c r="G94" s="19">
        <f>F94/E94*100</f>
        <v>53.37928241937576</v>
      </c>
      <c r="H94" s="85"/>
      <c r="I94" s="35"/>
    </row>
    <row r="95" spans="1:8" s="24" customFormat="1" ht="25.5" customHeight="1" hidden="1">
      <c r="A95" s="36" t="s">
        <v>2</v>
      </c>
      <c r="B95" s="48" t="s">
        <v>109</v>
      </c>
      <c r="C95" s="38" t="s">
        <v>110</v>
      </c>
      <c r="D95" s="39"/>
      <c r="E95" s="15">
        <f>E96</f>
        <v>0</v>
      </c>
      <c r="F95" s="15">
        <f>F96</f>
        <v>0</v>
      </c>
      <c r="G95" s="19" t="e">
        <f aca="true" t="shared" si="1" ref="G95:G158">F95/E95*100</f>
        <v>#DIV/0!</v>
      </c>
      <c r="H95" s="85"/>
    </row>
    <row r="96" spans="1:8" s="24" customFormat="1" ht="25.5" customHeight="1" hidden="1">
      <c r="A96" s="51" t="s">
        <v>2</v>
      </c>
      <c r="B96" s="16" t="s">
        <v>202</v>
      </c>
      <c r="C96" s="23" t="s">
        <v>149</v>
      </c>
      <c r="D96" s="18" t="s">
        <v>244</v>
      </c>
      <c r="E96" s="14">
        <v>0</v>
      </c>
      <c r="F96" s="14">
        <f>7070.35-7070.35</f>
        <v>0</v>
      </c>
      <c r="G96" s="19" t="e">
        <f t="shared" si="1"/>
        <v>#DIV/0!</v>
      </c>
      <c r="H96" s="44">
        <f>F96-E96</f>
        <v>0</v>
      </c>
    </row>
    <row r="97" spans="1:8" s="24" customFormat="1" ht="30" customHeight="1">
      <c r="A97" s="36" t="s">
        <v>2</v>
      </c>
      <c r="B97" s="48" t="s">
        <v>281</v>
      </c>
      <c r="C97" s="38" t="s">
        <v>111</v>
      </c>
      <c r="D97" s="39"/>
      <c r="E97" s="15">
        <f>E99+E100+E101+E102</f>
        <v>8433605.32</v>
      </c>
      <c r="F97" s="15">
        <f>F99+F100+F101+F102</f>
        <v>8737926.209999999</v>
      </c>
      <c r="G97" s="19">
        <f t="shared" si="1"/>
        <v>103.60843172585173</v>
      </c>
      <c r="H97" s="85"/>
    </row>
    <row r="98" spans="1:8" s="24" customFormat="1" ht="30">
      <c r="A98" s="36" t="s">
        <v>2</v>
      </c>
      <c r="B98" s="48" t="s">
        <v>203</v>
      </c>
      <c r="C98" s="38" t="s">
        <v>112</v>
      </c>
      <c r="D98" s="39"/>
      <c r="E98" s="15">
        <f>E99+E100</f>
        <v>6979805.77</v>
      </c>
      <c r="F98" s="15">
        <f>F99+F100</f>
        <v>7395863.119999999</v>
      </c>
      <c r="G98" s="19">
        <f t="shared" si="1"/>
        <v>105.96087289116642</v>
      </c>
      <c r="H98" s="85"/>
    </row>
    <row r="99" spans="1:9" s="24" customFormat="1" ht="27.75" customHeight="1">
      <c r="A99" s="51" t="s">
        <v>2</v>
      </c>
      <c r="B99" s="16" t="s">
        <v>282</v>
      </c>
      <c r="C99" s="23" t="s">
        <v>150</v>
      </c>
      <c r="D99" s="18" t="s">
        <v>244</v>
      </c>
      <c r="E99" s="14">
        <v>6979805.77</v>
      </c>
      <c r="F99" s="14">
        <f>7250338.52+145524.6</f>
        <v>7395863.119999999</v>
      </c>
      <c r="G99" s="19">
        <f t="shared" si="1"/>
        <v>105.96087289116642</v>
      </c>
      <c r="H99" s="44">
        <f>F99-E99</f>
        <v>416057.3499999996</v>
      </c>
      <c r="I99" s="35"/>
    </row>
    <row r="100" spans="1:8" s="24" customFormat="1" ht="15.75" customHeight="1" hidden="1">
      <c r="A100" s="51" t="s">
        <v>2</v>
      </c>
      <c r="B100" s="16" t="s">
        <v>113</v>
      </c>
      <c r="C100" s="23" t="s">
        <v>112</v>
      </c>
      <c r="D100" s="18"/>
      <c r="E100" s="14"/>
      <c r="F100" s="14"/>
      <c r="G100" s="19" t="e">
        <f t="shared" si="1"/>
        <v>#DIV/0!</v>
      </c>
      <c r="H100" s="85"/>
    </row>
    <row r="101" spans="1:8" s="24" customFormat="1" ht="39" customHeight="1">
      <c r="A101" s="45" t="s">
        <v>2</v>
      </c>
      <c r="B101" s="16" t="s">
        <v>283</v>
      </c>
      <c r="C101" s="23" t="s">
        <v>151</v>
      </c>
      <c r="D101" s="18" t="s">
        <v>244</v>
      </c>
      <c r="E101" s="14">
        <v>295739.55</v>
      </c>
      <c r="F101" s="14">
        <f>297266.85-1527.3</f>
        <v>295739.55</v>
      </c>
      <c r="G101" s="19">
        <f t="shared" si="1"/>
        <v>100</v>
      </c>
      <c r="H101" s="85"/>
    </row>
    <row r="102" spans="1:8" s="24" customFormat="1" ht="52.5" customHeight="1">
      <c r="A102" s="36" t="s">
        <v>2</v>
      </c>
      <c r="B102" s="16" t="s">
        <v>280</v>
      </c>
      <c r="C102" s="23" t="s">
        <v>188</v>
      </c>
      <c r="D102" s="18" t="s">
        <v>244</v>
      </c>
      <c r="E102" s="14">
        <v>1158060</v>
      </c>
      <c r="F102" s="14">
        <v>1046323.54</v>
      </c>
      <c r="G102" s="19">
        <f t="shared" si="1"/>
        <v>90.35141011691968</v>
      </c>
      <c r="H102" s="44">
        <f>F102-E102</f>
        <v>-111736.45999999996</v>
      </c>
    </row>
    <row r="103" spans="1:8" s="24" customFormat="1" ht="28.5" customHeight="1">
      <c r="A103" s="36" t="s">
        <v>2</v>
      </c>
      <c r="B103" s="48" t="s">
        <v>274</v>
      </c>
      <c r="C103" s="38" t="s">
        <v>275</v>
      </c>
      <c r="D103" s="18" t="s">
        <v>244</v>
      </c>
      <c r="E103" s="15">
        <f>E104</f>
        <v>8122000</v>
      </c>
      <c r="F103" s="15">
        <f>F104</f>
        <v>99337.11</v>
      </c>
      <c r="G103" s="19">
        <f t="shared" si="1"/>
        <v>1.2230621768037429</v>
      </c>
      <c r="H103" s="44"/>
    </row>
    <row r="104" spans="1:8" s="24" customFormat="1" ht="25.5" customHeight="1">
      <c r="A104" s="36" t="s">
        <v>2</v>
      </c>
      <c r="B104" s="16" t="s">
        <v>276</v>
      </c>
      <c r="C104" s="23" t="s">
        <v>277</v>
      </c>
      <c r="D104" s="18" t="s">
        <v>244</v>
      </c>
      <c r="E104" s="14">
        <v>8122000</v>
      </c>
      <c r="F104" s="14">
        <v>99337.11</v>
      </c>
      <c r="G104" s="19">
        <f t="shared" si="1"/>
        <v>1.2230621768037429</v>
      </c>
      <c r="H104" s="44"/>
    </row>
    <row r="105" spans="1:8" s="24" customFormat="1" ht="18" customHeight="1" hidden="1">
      <c r="A105" s="30" t="s">
        <v>2</v>
      </c>
      <c r="B105" s="47" t="s">
        <v>34</v>
      </c>
      <c r="C105" s="32" t="s">
        <v>35</v>
      </c>
      <c r="D105" s="33"/>
      <c r="E105" s="84">
        <f>E106</f>
        <v>0</v>
      </c>
      <c r="F105" s="84">
        <f>F106</f>
        <v>0</v>
      </c>
      <c r="G105" s="19" t="e">
        <f t="shared" si="1"/>
        <v>#DIV/0!</v>
      </c>
      <c r="H105" s="85"/>
    </row>
    <row r="106" spans="1:8" s="24" customFormat="1" ht="25.5" hidden="1">
      <c r="A106" s="36" t="s">
        <v>2</v>
      </c>
      <c r="B106" s="48" t="s">
        <v>36</v>
      </c>
      <c r="C106" s="23" t="s">
        <v>163</v>
      </c>
      <c r="D106" s="18"/>
      <c r="E106" s="90">
        <v>0</v>
      </c>
      <c r="F106" s="90">
        <v>0</v>
      </c>
      <c r="G106" s="19" t="e">
        <f t="shared" si="1"/>
        <v>#DIV/0!</v>
      </c>
      <c r="H106" s="85"/>
    </row>
    <row r="107" spans="1:8" s="24" customFormat="1" ht="20.25" customHeight="1">
      <c r="A107" s="30" t="s">
        <v>2</v>
      </c>
      <c r="B107" s="31" t="s">
        <v>37</v>
      </c>
      <c r="C107" s="32" t="s">
        <v>38</v>
      </c>
      <c r="D107" s="33"/>
      <c r="E107" s="84">
        <f>E108+E111+E112+E114+E125+E137+E118+E116+E134+E128+E136+E132+E113+E127+E129+E133+E135+E130+E131+E126</f>
        <v>4210479.62</v>
      </c>
      <c r="F107" s="84">
        <f>F108+F111+F112+F114+F125+F137+F118+F116+F134+F128+F136+F132+F113+F127+F129+F133+F135+F130+F131+F126</f>
        <v>4382886.93</v>
      </c>
      <c r="G107" s="19">
        <f t="shared" si="1"/>
        <v>104.09471902395764</v>
      </c>
      <c r="H107" s="85"/>
    </row>
    <row r="108" spans="1:8" s="24" customFormat="1" ht="30">
      <c r="A108" s="36" t="s">
        <v>2</v>
      </c>
      <c r="B108" s="91" t="s">
        <v>114</v>
      </c>
      <c r="C108" s="38" t="s">
        <v>115</v>
      </c>
      <c r="D108" s="39"/>
      <c r="E108" s="15">
        <f>E109+E110</f>
        <v>60300</v>
      </c>
      <c r="F108" s="15">
        <f>F109+F110</f>
        <v>56024.07</v>
      </c>
      <c r="G108" s="19">
        <f t="shared" si="1"/>
        <v>92.90890547263682</v>
      </c>
      <c r="H108" s="85"/>
    </row>
    <row r="109" spans="1:8" s="24" customFormat="1" ht="51" customHeight="1">
      <c r="A109" s="45" t="s">
        <v>2</v>
      </c>
      <c r="B109" s="92" t="s">
        <v>388</v>
      </c>
      <c r="C109" s="23" t="s">
        <v>389</v>
      </c>
      <c r="D109" s="18" t="s">
        <v>247</v>
      </c>
      <c r="E109" s="90">
        <v>59000</v>
      </c>
      <c r="F109" s="90">
        <f>54099.07+625</f>
        <v>54724.07</v>
      </c>
      <c r="G109" s="19">
        <f t="shared" si="1"/>
        <v>92.75266101694916</v>
      </c>
      <c r="H109" s="44">
        <f>F109-E109</f>
        <v>-4275.93</v>
      </c>
    </row>
    <row r="110" spans="1:8" s="24" customFormat="1" ht="69.75" customHeight="1">
      <c r="A110" s="45" t="s">
        <v>2</v>
      </c>
      <c r="B110" s="92" t="s">
        <v>390</v>
      </c>
      <c r="C110" s="23" t="s">
        <v>391</v>
      </c>
      <c r="D110" s="18" t="s">
        <v>247</v>
      </c>
      <c r="E110" s="90">
        <v>1300</v>
      </c>
      <c r="F110" s="90">
        <f>1000+3000-3000+150+150</f>
        <v>1300</v>
      </c>
      <c r="G110" s="19">
        <f t="shared" si="1"/>
        <v>100</v>
      </c>
      <c r="H110" s="85"/>
    </row>
    <row r="111" spans="1:8" s="24" customFormat="1" ht="45">
      <c r="A111" s="36" t="s">
        <v>2</v>
      </c>
      <c r="B111" s="91" t="s">
        <v>39</v>
      </c>
      <c r="C111" s="38" t="s">
        <v>40</v>
      </c>
      <c r="D111" s="39" t="s">
        <v>247</v>
      </c>
      <c r="E111" s="15">
        <v>94000</v>
      </c>
      <c r="F111" s="15">
        <f>10000+10000+3000+7000+10000+40000+4000+10000+10000</f>
        <v>104000</v>
      </c>
      <c r="G111" s="19">
        <f t="shared" si="1"/>
        <v>110.63829787234043</v>
      </c>
      <c r="H111" s="85"/>
    </row>
    <row r="112" spans="1:8" s="24" customFormat="1" ht="31.5" customHeight="1">
      <c r="A112" s="36" t="s">
        <v>2</v>
      </c>
      <c r="B112" s="91" t="s">
        <v>64</v>
      </c>
      <c r="C112" s="38" t="s">
        <v>225</v>
      </c>
      <c r="D112" s="39" t="s">
        <v>248</v>
      </c>
      <c r="E112" s="15">
        <f>492206.82+33642+10000+15000+13000+5000+54074.2+20000+10000+10000+50000</f>
        <v>712923.02</v>
      </c>
      <c r="F112" s="15">
        <v>762923.02</v>
      </c>
      <c r="G112" s="19">
        <f t="shared" si="1"/>
        <v>107.01337992985553</v>
      </c>
      <c r="H112" s="44">
        <f>F112-E112</f>
        <v>50000</v>
      </c>
    </row>
    <row r="113" spans="1:8" s="24" customFormat="1" ht="31.5" customHeight="1">
      <c r="A113" s="36" t="s">
        <v>2</v>
      </c>
      <c r="B113" s="91" t="s">
        <v>224</v>
      </c>
      <c r="C113" s="38" t="s">
        <v>225</v>
      </c>
      <c r="D113" s="39" t="s">
        <v>248</v>
      </c>
      <c r="E113" s="15">
        <v>500</v>
      </c>
      <c r="F113" s="15">
        <v>500</v>
      </c>
      <c r="G113" s="19">
        <f t="shared" si="1"/>
        <v>100</v>
      </c>
      <c r="H113" s="85"/>
    </row>
    <row r="114" spans="1:8" s="24" customFormat="1" ht="0.75" customHeight="1">
      <c r="A114" s="36" t="s">
        <v>2</v>
      </c>
      <c r="B114" s="91" t="s">
        <v>116</v>
      </c>
      <c r="C114" s="38" t="s">
        <v>117</v>
      </c>
      <c r="D114" s="39"/>
      <c r="E114" s="15">
        <f>E115</f>
        <v>0</v>
      </c>
      <c r="F114" s="15">
        <f>F115</f>
        <v>0</v>
      </c>
      <c r="G114" s="19" t="e">
        <f t="shared" si="1"/>
        <v>#DIV/0!</v>
      </c>
      <c r="H114" s="85"/>
    </row>
    <row r="115" spans="1:8" s="24" customFormat="1" ht="38.25" hidden="1">
      <c r="A115" s="51" t="s">
        <v>2</v>
      </c>
      <c r="B115" s="92" t="s">
        <v>118</v>
      </c>
      <c r="C115" s="23" t="s">
        <v>164</v>
      </c>
      <c r="D115" s="18"/>
      <c r="E115" s="90">
        <v>0</v>
      </c>
      <c r="F115" s="90">
        <v>0</v>
      </c>
      <c r="G115" s="19" t="e">
        <f t="shared" si="1"/>
        <v>#DIV/0!</v>
      </c>
      <c r="H115" s="85"/>
    </row>
    <row r="116" spans="1:8" s="24" customFormat="1" ht="17.25" customHeight="1">
      <c r="A116" s="36" t="s">
        <v>2</v>
      </c>
      <c r="B116" s="91" t="s">
        <v>79</v>
      </c>
      <c r="C116" s="38" t="s">
        <v>80</v>
      </c>
      <c r="D116" s="39"/>
      <c r="E116" s="15">
        <f>E117</f>
        <v>61125</v>
      </c>
      <c r="F116" s="15">
        <f>F117</f>
        <v>61125</v>
      </c>
      <c r="G116" s="19">
        <f t="shared" si="1"/>
        <v>100</v>
      </c>
      <c r="H116" s="85"/>
    </row>
    <row r="117" spans="1:8" s="24" customFormat="1" ht="39.75" customHeight="1">
      <c r="A117" s="51" t="s">
        <v>2</v>
      </c>
      <c r="B117" s="92" t="s">
        <v>352</v>
      </c>
      <c r="C117" s="23" t="s">
        <v>165</v>
      </c>
      <c r="D117" s="18"/>
      <c r="E117" s="90">
        <v>61125</v>
      </c>
      <c r="F117" s="90">
        <v>61125</v>
      </c>
      <c r="G117" s="19">
        <f t="shared" si="1"/>
        <v>100</v>
      </c>
      <c r="H117" s="85"/>
    </row>
    <row r="118" spans="1:8" s="24" customFormat="1" ht="75">
      <c r="A118" s="36" t="s">
        <v>2</v>
      </c>
      <c r="B118" s="91" t="s">
        <v>119</v>
      </c>
      <c r="C118" s="38" t="s">
        <v>120</v>
      </c>
      <c r="D118" s="33" t="s">
        <v>2</v>
      </c>
      <c r="E118" s="79">
        <f>E121+E122+E124+E119+E120+E123</f>
        <v>344011.17</v>
      </c>
      <c r="F118" s="79">
        <f>F121+F122+F124+F119+F120+F123</f>
        <v>344011.17</v>
      </c>
      <c r="G118" s="19">
        <f t="shared" si="1"/>
        <v>100</v>
      </c>
      <c r="H118" s="85"/>
    </row>
    <row r="119" spans="1:8" s="24" customFormat="1" ht="24.75" customHeight="1" hidden="1">
      <c r="A119" s="51" t="s">
        <v>2</v>
      </c>
      <c r="B119" s="92" t="s">
        <v>51</v>
      </c>
      <c r="C119" s="23" t="s">
        <v>121</v>
      </c>
      <c r="D119" s="18"/>
      <c r="E119" s="90"/>
      <c r="F119" s="90"/>
      <c r="G119" s="19" t="e">
        <f t="shared" si="1"/>
        <v>#DIV/0!</v>
      </c>
      <c r="H119" s="85"/>
    </row>
    <row r="120" spans="1:8" s="24" customFormat="1" ht="24.75" customHeight="1" hidden="1">
      <c r="A120" s="51" t="s">
        <v>2</v>
      </c>
      <c r="B120" s="92" t="s">
        <v>211</v>
      </c>
      <c r="C120" s="23" t="s">
        <v>212</v>
      </c>
      <c r="D120" s="18"/>
      <c r="E120" s="90">
        <v>0</v>
      </c>
      <c r="F120" s="90">
        <v>0</v>
      </c>
      <c r="G120" s="19" t="e">
        <f t="shared" si="1"/>
        <v>#DIV/0!</v>
      </c>
      <c r="H120" s="85"/>
    </row>
    <row r="121" spans="1:8" s="24" customFormat="1" ht="24.75" customHeight="1" hidden="1">
      <c r="A121" s="51" t="s">
        <v>2</v>
      </c>
      <c r="B121" s="92" t="s">
        <v>122</v>
      </c>
      <c r="C121" s="23" t="s">
        <v>123</v>
      </c>
      <c r="D121" s="18"/>
      <c r="E121" s="90">
        <v>0</v>
      </c>
      <c r="F121" s="90">
        <v>0</v>
      </c>
      <c r="G121" s="19" t="e">
        <f t="shared" si="1"/>
        <v>#DIV/0!</v>
      </c>
      <c r="H121" s="85"/>
    </row>
    <row r="122" spans="1:8" s="24" customFormat="1" ht="24.75" customHeight="1" hidden="1">
      <c r="A122" s="51" t="s">
        <v>2</v>
      </c>
      <c r="B122" s="92" t="s">
        <v>41</v>
      </c>
      <c r="C122" s="23" t="s">
        <v>42</v>
      </c>
      <c r="D122" s="18"/>
      <c r="E122" s="90">
        <v>0</v>
      </c>
      <c r="F122" s="90">
        <v>0</v>
      </c>
      <c r="G122" s="19" t="e">
        <f t="shared" si="1"/>
        <v>#DIV/0!</v>
      </c>
      <c r="H122" s="85"/>
    </row>
    <row r="123" spans="1:8" s="24" customFormat="1" ht="18.75" customHeight="1">
      <c r="A123" s="51" t="s">
        <v>2</v>
      </c>
      <c r="B123" s="92" t="s">
        <v>43</v>
      </c>
      <c r="C123" s="23" t="s">
        <v>44</v>
      </c>
      <c r="D123" s="18" t="s">
        <v>249</v>
      </c>
      <c r="E123" s="14">
        <f>291784+2227.17</f>
        <v>294011.17</v>
      </c>
      <c r="F123" s="14">
        <f>291784+2227.17</f>
        <v>294011.17</v>
      </c>
      <c r="G123" s="19">
        <f t="shared" si="1"/>
        <v>100</v>
      </c>
      <c r="H123" s="85"/>
    </row>
    <row r="124" spans="1:8" s="24" customFormat="1" ht="29.25" customHeight="1">
      <c r="A124" s="51" t="s">
        <v>2</v>
      </c>
      <c r="B124" s="92" t="s">
        <v>353</v>
      </c>
      <c r="C124" s="23" t="s">
        <v>354</v>
      </c>
      <c r="D124" s="18" t="s">
        <v>248</v>
      </c>
      <c r="E124" s="14">
        <v>50000</v>
      </c>
      <c r="F124" s="14">
        <f>30000+20000</f>
        <v>50000</v>
      </c>
      <c r="G124" s="19">
        <f t="shared" si="1"/>
        <v>100</v>
      </c>
      <c r="H124" s="44">
        <f>F124-E124</f>
        <v>0</v>
      </c>
    </row>
    <row r="125" spans="1:8" s="24" customFormat="1" ht="45">
      <c r="A125" s="36" t="s">
        <v>2</v>
      </c>
      <c r="B125" s="91" t="s">
        <v>45</v>
      </c>
      <c r="C125" s="38" t="s">
        <v>46</v>
      </c>
      <c r="D125" s="39" t="s">
        <v>248</v>
      </c>
      <c r="E125" s="15">
        <v>2500</v>
      </c>
      <c r="F125" s="15">
        <f>1000+500+500+500</f>
        <v>2500</v>
      </c>
      <c r="G125" s="19">
        <f t="shared" si="1"/>
        <v>100</v>
      </c>
      <c r="H125" s="85"/>
    </row>
    <row r="126" spans="1:8" s="24" customFormat="1" ht="45">
      <c r="A126" s="36" t="s">
        <v>2</v>
      </c>
      <c r="B126" s="91" t="s">
        <v>45</v>
      </c>
      <c r="C126" s="38" t="s">
        <v>46</v>
      </c>
      <c r="D126" s="39" t="s">
        <v>341</v>
      </c>
      <c r="E126" s="15">
        <v>10000</v>
      </c>
      <c r="F126" s="15">
        <v>10000</v>
      </c>
      <c r="G126" s="19">
        <f t="shared" si="1"/>
        <v>100</v>
      </c>
      <c r="H126" s="85"/>
    </row>
    <row r="127" spans="1:8" s="24" customFormat="1" ht="17.25" customHeight="1">
      <c r="A127" s="36" t="s">
        <v>2</v>
      </c>
      <c r="B127" s="91" t="s">
        <v>226</v>
      </c>
      <c r="C127" s="38" t="s">
        <v>227</v>
      </c>
      <c r="D127" s="39" t="s">
        <v>248</v>
      </c>
      <c r="E127" s="15">
        <v>223500</v>
      </c>
      <c r="F127" s="15">
        <f>21000+100000+100000+2500</f>
        <v>223500</v>
      </c>
      <c r="G127" s="19">
        <f t="shared" si="1"/>
        <v>100</v>
      </c>
      <c r="H127" s="85"/>
    </row>
    <row r="128" spans="1:8" s="24" customFormat="1" ht="17.25" customHeight="1" hidden="1">
      <c r="A128" s="36" t="s">
        <v>2</v>
      </c>
      <c r="B128" s="91" t="s">
        <v>124</v>
      </c>
      <c r="C128" s="38" t="s">
        <v>166</v>
      </c>
      <c r="D128" s="39"/>
      <c r="E128" s="15">
        <v>0</v>
      </c>
      <c r="F128" s="15">
        <v>0</v>
      </c>
      <c r="G128" s="19" t="e">
        <f t="shared" si="1"/>
        <v>#DIV/0!</v>
      </c>
      <c r="H128" s="85"/>
    </row>
    <row r="129" spans="1:8" s="24" customFormat="1" ht="17.25" customHeight="1">
      <c r="A129" s="36" t="s">
        <v>2</v>
      </c>
      <c r="B129" s="91" t="s">
        <v>392</v>
      </c>
      <c r="C129" s="38" t="s">
        <v>234</v>
      </c>
      <c r="D129" s="39" t="s">
        <v>271</v>
      </c>
      <c r="E129" s="15">
        <f>178000+9960.29</f>
        <v>187960.29</v>
      </c>
      <c r="F129" s="15">
        <f>178000+9960.29</f>
        <v>187960.29</v>
      </c>
      <c r="G129" s="19">
        <f t="shared" si="1"/>
        <v>100</v>
      </c>
      <c r="H129" s="44">
        <f>F129-E129</f>
        <v>0</v>
      </c>
    </row>
    <row r="130" spans="1:8" s="24" customFormat="1" ht="45">
      <c r="A130" s="36" t="s">
        <v>2</v>
      </c>
      <c r="B130" s="91" t="s">
        <v>393</v>
      </c>
      <c r="C130" s="38" t="s">
        <v>234</v>
      </c>
      <c r="D130" s="39" t="s">
        <v>326</v>
      </c>
      <c r="E130" s="15">
        <v>40000</v>
      </c>
      <c r="F130" s="15">
        <f>15000+25000</f>
        <v>40000</v>
      </c>
      <c r="G130" s="19">
        <f t="shared" si="1"/>
        <v>100</v>
      </c>
      <c r="H130" s="44"/>
    </row>
    <row r="131" spans="1:8" s="24" customFormat="1" ht="28.5" customHeight="1">
      <c r="A131" s="36" t="s">
        <v>2</v>
      </c>
      <c r="B131" s="91" t="s">
        <v>334</v>
      </c>
      <c r="C131" s="38" t="s">
        <v>333</v>
      </c>
      <c r="D131" s="39" t="s">
        <v>332</v>
      </c>
      <c r="E131" s="15">
        <v>40000</v>
      </c>
      <c r="F131" s="15">
        <v>40000</v>
      </c>
      <c r="G131" s="19">
        <f t="shared" si="1"/>
        <v>100</v>
      </c>
      <c r="H131" s="44"/>
    </row>
    <row r="132" spans="1:8" s="24" customFormat="1" ht="45">
      <c r="A132" s="36" t="s">
        <v>2</v>
      </c>
      <c r="B132" s="91" t="s">
        <v>220</v>
      </c>
      <c r="C132" s="38" t="s">
        <v>221</v>
      </c>
      <c r="D132" s="39" t="s">
        <v>246</v>
      </c>
      <c r="E132" s="15">
        <f>174733.98-1760</f>
        <v>172973.98</v>
      </c>
      <c r="F132" s="15">
        <f>174733.98-1760</f>
        <v>172973.98</v>
      </c>
      <c r="G132" s="19">
        <f t="shared" si="1"/>
        <v>100</v>
      </c>
      <c r="H132" s="85"/>
    </row>
    <row r="133" spans="1:8" s="24" customFormat="1" ht="45">
      <c r="A133" s="36" t="s">
        <v>2</v>
      </c>
      <c r="B133" s="91" t="s">
        <v>62</v>
      </c>
      <c r="C133" s="38" t="s">
        <v>61</v>
      </c>
      <c r="D133" s="39" t="s">
        <v>248</v>
      </c>
      <c r="E133" s="15">
        <v>60000</v>
      </c>
      <c r="F133" s="15">
        <f>27762.87+4000+1000+2000+1000+1002.89+6.68+1000+500+88.54+1000+830.44+2000+1000</f>
        <v>43191.42</v>
      </c>
      <c r="G133" s="19">
        <f t="shared" si="1"/>
        <v>71.9857</v>
      </c>
      <c r="H133" s="85"/>
    </row>
    <row r="134" spans="1:8" s="24" customFormat="1" ht="16.5" customHeight="1" hidden="1">
      <c r="A134" s="36" t="s">
        <v>2</v>
      </c>
      <c r="B134" s="91" t="s">
        <v>62</v>
      </c>
      <c r="C134" s="38" t="s">
        <v>61</v>
      </c>
      <c r="D134" s="39" t="s">
        <v>250</v>
      </c>
      <c r="E134" s="15">
        <v>0</v>
      </c>
      <c r="F134" s="15">
        <v>0</v>
      </c>
      <c r="G134" s="19" t="e">
        <f t="shared" si="1"/>
        <v>#DIV/0!</v>
      </c>
      <c r="H134" s="85"/>
    </row>
    <row r="135" spans="1:8" s="24" customFormat="1" ht="0.75" customHeight="1" hidden="1">
      <c r="A135" s="36" t="s">
        <v>2</v>
      </c>
      <c r="B135" s="91" t="s">
        <v>62</v>
      </c>
      <c r="C135" s="38" t="s">
        <v>61</v>
      </c>
      <c r="D135" s="39" t="s">
        <v>325</v>
      </c>
      <c r="E135" s="15">
        <v>0</v>
      </c>
      <c r="F135" s="15">
        <f>500-500</f>
        <v>0</v>
      </c>
      <c r="G135" s="19" t="e">
        <f t="shared" si="1"/>
        <v>#DIV/0!</v>
      </c>
      <c r="H135" s="85"/>
    </row>
    <row r="136" spans="1:8" s="24" customFormat="1" ht="47.25" customHeight="1">
      <c r="A136" s="36" t="s">
        <v>2</v>
      </c>
      <c r="B136" s="91" t="s">
        <v>394</v>
      </c>
      <c r="C136" s="38" t="s">
        <v>167</v>
      </c>
      <c r="D136" s="39" t="s">
        <v>246</v>
      </c>
      <c r="E136" s="15">
        <v>174063.81</v>
      </c>
      <c r="F136" s="15">
        <v>157354.58</v>
      </c>
      <c r="G136" s="19">
        <f t="shared" si="1"/>
        <v>90.40051461587562</v>
      </c>
      <c r="H136" s="44">
        <f>F136-E136</f>
        <v>-16709.23000000001</v>
      </c>
    </row>
    <row r="137" spans="1:8" s="24" customFormat="1" ht="30">
      <c r="A137" s="36" t="s">
        <v>2</v>
      </c>
      <c r="B137" s="91" t="s">
        <v>206</v>
      </c>
      <c r="C137" s="38" t="s">
        <v>208</v>
      </c>
      <c r="D137" s="33" t="s">
        <v>2</v>
      </c>
      <c r="E137" s="15">
        <f>E139+E140+E141+E142+E143+E144+E145+E146+E138</f>
        <v>2026622.35</v>
      </c>
      <c r="F137" s="15">
        <f>F139+F140+F141+F142+F143+F144+F145+F146+F138</f>
        <v>2176823.4000000004</v>
      </c>
      <c r="G137" s="19">
        <f t="shared" si="1"/>
        <v>107.41139808312093</v>
      </c>
      <c r="H137" s="44">
        <f>F137-E137</f>
        <v>150201.05000000028</v>
      </c>
    </row>
    <row r="138" spans="1:8" s="24" customFormat="1" ht="25.5">
      <c r="A138" s="51" t="s">
        <v>2</v>
      </c>
      <c r="B138" s="92" t="s">
        <v>206</v>
      </c>
      <c r="C138" s="23" t="s">
        <v>208</v>
      </c>
      <c r="D138" s="18" t="s">
        <v>285</v>
      </c>
      <c r="E138" s="14">
        <v>30000</v>
      </c>
      <c r="F138" s="14">
        <f>5000+5000+20000</f>
        <v>30000</v>
      </c>
      <c r="G138" s="19">
        <f t="shared" si="1"/>
        <v>100</v>
      </c>
      <c r="H138" s="44"/>
    </row>
    <row r="139" spans="1:8" s="24" customFormat="1" ht="24" customHeight="1">
      <c r="A139" s="51" t="s">
        <v>2</v>
      </c>
      <c r="B139" s="92" t="s">
        <v>206</v>
      </c>
      <c r="C139" s="23" t="s">
        <v>208</v>
      </c>
      <c r="D139" s="18" t="s">
        <v>246</v>
      </c>
      <c r="E139" s="14">
        <v>766327.11</v>
      </c>
      <c r="F139" s="14">
        <f>848059.61+62746.67</f>
        <v>910806.28</v>
      </c>
      <c r="G139" s="19">
        <f t="shared" si="1"/>
        <v>118.85345932757096</v>
      </c>
      <c r="H139" s="44"/>
    </row>
    <row r="140" spans="1:8" s="24" customFormat="1" ht="24" customHeight="1">
      <c r="A140" s="51" t="s">
        <v>2</v>
      </c>
      <c r="B140" s="92" t="s">
        <v>206</v>
      </c>
      <c r="C140" s="23" t="s">
        <v>208</v>
      </c>
      <c r="D140" s="18" t="s">
        <v>255</v>
      </c>
      <c r="E140" s="14">
        <v>20601.16</v>
      </c>
      <c r="F140" s="14">
        <v>20601.16</v>
      </c>
      <c r="G140" s="19">
        <f t="shared" si="1"/>
        <v>100</v>
      </c>
      <c r="H140" s="44"/>
    </row>
    <row r="141" spans="1:8" s="24" customFormat="1" ht="24" customHeight="1">
      <c r="A141" s="51" t="s">
        <v>2</v>
      </c>
      <c r="B141" s="92" t="s">
        <v>206</v>
      </c>
      <c r="C141" s="23" t="s">
        <v>208</v>
      </c>
      <c r="D141" s="18" t="s">
        <v>251</v>
      </c>
      <c r="E141" s="14">
        <v>0</v>
      </c>
      <c r="F141" s="14">
        <v>3000</v>
      </c>
      <c r="G141" s="118" t="s">
        <v>363</v>
      </c>
      <c r="H141" s="44"/>
    </row>
    <row r="142" spans="1:8" s="24" customFormat="1" ht="24" customHeight="1">
      <c r="A142" s="51" t="s">
        <v>2</v>
      </c>
      <c r="B142" s="92" t="s">
        <v>206</v>
      </c>
      <c r="C142" s="23" t="s">
        <v>208</v>
      </c>
      <c r="D142" s="18" t="s">
        <v>250</v>
      </c>
      <c r="E142" s="14">
        <v>88194.08</v>
      </c>
      <c r="F142" s="14">
        <v>90738.66</v>
      </c>
      <c r="G142" s="19">
        <f t="shared" si="1"/>
        <v>102.88520499335104</v>
      </c>
      <c r="H142" s="44"/>
    </row>
    <row r="143" spans="1:8" s="24" customFormat="1" ht="25.5" hidden="1">
      <c r="A143" s="51" t="s">
        <v>2</v>
      </c>
      <c r="B143" s="92" t="s">
        <v>206</v>
      </c>
      <c r="C143" s="23" t="s">
        <v>208</v>
      </c>
      <c r="D143" s="18" t="s">
        <v>247</v>
      </c>
      <c r="E143" s="14">
        <v>0</v>
      </c>
      <c r="F143" s="14">
        <v>0</v>
      </c>
      <c r="G143" s="19" t="e">
        <f t="shared" si="1"/>
        <v>#DIV/0!</v>
      </c>
      <c r="H143" s="44"/>
    </row>
    <row r="144" spans="1:8" s="24" customFormat="1" ht="25.5">
      <c r="A144" s="51" t="s">
        <v>2</v>
      </c>
      <c r="B144" s="92" t="s">
        <v>206</v>
      </c>
      <c r="C144" s="23" t="s">
        <v>208</v>
      </c>
      <c r="D144" s="18" t="s">
        <v>248</v>
      </c>
      <c r="E144" s="14">
        <v>1100000</v>
      </c>
      <c r="F144" s="14">
        <f>1103577.3+500</f>
        <v>1104077.3</v>
      </c>
      <c r="G144" s="19">
        <f t="shared" si="1"/>
        <v>100.37066363636364</v>
      </c>
      <c r="H144" s="44"/>
    </row>
    <row r="145" spans="1:8" s="24" customFormat="1" ht="25.5">
      <c r="A145" s="51" t="s">
        <v>2</v>
      </c>
      <c r="B145" s="92" t="s">
        <v>206</v>
      </c>
      <c r="C145" s="23" t="s">
        <v>208</v>
      </c>
      <c r="D145" s="18" t="s">
        <v>252</v>
      </c>
      <c r="E145" s="14">
        <v>21500</v>
      </c>
      <c r="F145" s="14">
        <f>100+500+100+300+200+700+100+1500+100+100+1500+300+5000+300+600+1500+3600+100+300+500+200</f>
        <v>17600</v>
      </c>
      <c r="G145" s="19">
        <f t="shared" si="1"/>
        <v>81.86046511627907</v>
      </c>
      <c r="H145" s="44"/>
    </row>
    <row r="146" spans="1:8" s="24" customFormat="1" ht="17.25" customHeight="1" hidden="1">
      <c r="A146" s="36" t="s">
        <v>2</v>
      </c>
      <c r="B146" s="91" t="s">
        <v>206</v>
      </c>
      <c r="C146" s="38" t="s">
        <v>208</v>
      </c>
      <c r="D146" s="39"/>
      <c r="E146" s="15"/>
      <c r="F146" s="15"/>
      <c r="G146" s="19" t="e">
        <f t="shared" si="1"/>
        <v>#DIV/0!</v>
      </c>
      <c r="H146" s="44"/>
    </row>
    <row r="147" spans="1:8" s="24" customFormat="1" ht="17.25" customHeight="1">
      <c r="A147" s="30" t="s">
        <v>2</v>
      </c>
      <c r="B147" s="31" t="s">
        <v>47</v>
      </c>
      <c r="C147" s="32" t="s">
        <v>48</v>
      </c>
      <c r="D147" s="33"/>
      <c r="E147" s="84">
        <f>E149+E148</f>
        <v>358697.7</v>
      </c>
      <c r="F147" s="84">
        <f>F149+F148</f>
        <v>368789.7</v>
      </c>
      <c r="G147" s="19">
        <f t="shared" si="1"/>
        <v>102.813511210136</v>
      </c>
      <c r="H147" s="85"/>
    </row>
    <row r="148" spans="1:8" s="24" customFormat="1" ht="17.25" customHeight="1" hidden="1">
      <c r="A148" s="36" t="s">
        <v>2</v>
      </c>
      <c r="B148" s="91" t="s">
        <v>284</v>
      </c>
      <c r="C148" s="38" t="s">
        <v>168</v>
      </c>
      <c r="D148" s="39"/>
      <c r="E148" s="15">
        <v>0</v>
      </c>
      <c r="F148" s="15">
        <v>0</v>
      </c>
      <c r="G148" s="19" t="e">
        <f t="shared" si="1"/>
        <v>#DIV/0!</v>
      </c>
      <c r="H148" s="85"/>
    </row>
    <row r="149" spans="1:8" s="24" customFormat="1" ht="15">
      <c r="A149" s="36" t="s">
        <v>2</v>
      </c>
      <c r="B149" s="91" t="s">
        <v>125</v>
      </c>
      <c r="C149" s="38" t="s">
        <v>126</v>
      </c>
      <c r="D149" s="39"/>
      <c r="E149" s="15">
        <f>E150</f>
        <v>358697.7</v>
      </c>
      <c r="F149" s="15">
        <f>F150</f>
        <v>368789.7</v>
      </c>
      <c r="G149" s="19">
        <f t="shared" si="1"/>
        <v>102.813511210136</v>
      </c>
      <c r="H149" s="85"/>
    </row>
    <row r="150" spans="1:8" s="75" customFormat="1" ht="15" customHeight="1">
      <c r="A150" s="69" t="s">
        <v>2</v>
      </c>
      <c r="B150" s="92" t="s">
        <v>207</v>
      </c>
      <c r="C150" s="23" t="s">
        <v>169</v>
      </c>
      <c r="D150" s="18" t="s">
        <v>246</v>
      </c>
      <c r="E150" s="90">
        <v>358697.7</v>
      </c>
      <c r="F150" s="90">
        <v>368789.7</v>
      </c>
      <c r="G150" s="19">
        <f t="shared" si="1"/>
        <v>102.813511210136</v>
      </c>
      <c r="H150" s="85"/>
    </row>
    <row r="151" spans="1:8" s="24" customFormat="1" ht="20.25" customHeight="1">
      <c r="A151" s="20" t="s">
        <v>2</v>
      </c>
      <c r="B151" s="20" t="s">
        <v>127</v>
      </c>
      <c r="C151" s="32" t="s">
        <v>49</v>
      </c>
      <c r="D151" s="33"/>
      <c r="E151" s="84">
        <f>E153+E158+E188+E233+E230+E210+E226+E222</f>
        <v>375564724.37</v>
      </c>
      <c r="F151" s="84">
        <f>F153+F158+F188+F233+F230+F210+F226+F222</f>
        <v>361071119.53999996</v>
      </c>
      <c r="G151" s="19">
        <f t="shared" si="1"/>
        <v>96.14085032764653</v>
      </c>
      <c r="H151" s="85"/>
    </row>
    <row r="152" spans="1:8" s="24" customFormat="1" ht="30" customHeight="1">
      <c r="A152" s="20" t="s">
        <v>2</v>
      </c>
      <c r="B152" s="20" t="s">
        <v>128</v>
      </c>
      <c r="C152" s="32" t="s">
        <v>129</v>
      </c>
      <c r="D152" s="33"/>
      <c r="E152" s="84">
        <f>E153+E158+E188+E210</f>
        <v>374660451</v>
      </c>
      <c r="F152" s="84">
        <f>F153+F158+F188+F210</f>
        <v>362973731.95</v>
      </c>
      <c r="G152" s="19">
        <f t="shared" si="1"/>
        <v>96.88071718837492</v>
      </c>
      <c r="H152" s="85"/>
    </row>
    <row r="153" spans="1:8" s="24" customFormat="1" ht="29.25" customHeight="1">
      <c r="A153" s="30" t="s">
        <v>2</v>
      </c>
      <c r="B153" s="20" t="s">
        <v>318</v>
      </c>
      <c r="C153" s="32" t="s">
        <v>130</v>
      </c>
      <c r="D153" s="33"/>
      <c r="E153" s="93">
        <f>E154+E155+E157+E156</f>
        <v>92319900</v>
      </c>
      <c r="F153" s="93">
        <f>F154+F155+F157+F156</f>
        <v>92319900</v>
      </c>
      <c r="G153" s="19">
        <f t="shared" si="1"/>
        <v>100</v>
      </c>
      <c r="H153" s="85"/>
    </row>
    <row r="154" spans="1:8" s="24" customFormat="1" ht="21" customHeight="1" hidden="1">
      <c r="A154" s="51" t="s">
        <v>2</v>
      </c>
      <c r="B154" s="94" t="s">
        <v>75</v>
      </c>
      <c r="C154" s="23" t="s">
        <v>170</v>
      </c>
      <c r="D154" s="18"/>
      <c r="E154" s="95">
        <v>0</v>
      </c>
      <c r="F154" s="95">
        <v>0</v>
      </c>
      <c r="G154" s="19" t="e">
        <f t="shared" si="1"/>
        <v>#DIV/0!</v>
      </c>
      <c r="H154" s="85"/>
    </row>
    <row r="155" spans="1:8" s="24" customFormat="1" ht="31.5" customHeight="1">
      <c r="A155" s="36" t="s">
        <v>2</v>
      </c>
      <c r="B155" s="96" t="s">
        <v>395</v>
      </c>
      <c r="C155" s="38" t="s">
        <v>152</v>
      </c>
      <c r="D155" s="39"/>
      <c r="E155" s="97">
        <v>10001900</v>
      </c>
      <c r="F155" s="97">
        <v>10001900</v>
      </c>
      <c r="G155" s="19">
        <f t="shared" si="1"/>
        <v>100</v>
      </c>
      <c r="H155" s="85"/>
    </row>
    <row r="156" spans="1:8" s="24" customFormat="1" ht="23.25" customHeight="1" hidden="1">
      <c r="A156" s="36" t="s">
        <v>2</v>
      </c>
      <c r="B156" s="96" t="s">
        <v>238</v>
      </c>
      <c r="C156" s="38" t="s">
        <v>239</v>
      </c>
      <c r="D156" s="39"/>
      <c r="E156" s="97">
        <v>0</v>
      </c>
      <c r="F156" s="97">
        <v>0</v>
      </c>
      <c r="G156" s="19" t="e">
        <f t="shared" si="1"/>
        <v>#DIV/0!</v>
      </c>
      <c r="H156" s="85"/>
    </row>
    <row r="157" spans="1:8" s="24" customFormat="1" ht="15.75" customHeight="1">
      <c r="A157" s="51" t="s">
        <v>2</v>
      </c>
      <c r="B157" s="96" t="s">
        <v>319</v>
      </c>
      <c r="C157" s="38" t="s">
        <v>171</v>
      </c>
      <c r="D157" s="39" t="s">
        <v>253</v>
      </c>
      <c r="E157" s="97">
        <v>82318000</v>
      </c>
      <c r="F157" s="97">
        <f>20579500+20579500+20579500+20579500</f>
        <v>82318000</v>
      </c>
      <c r="G157" s="19">
        <f t="shared" si="1"/>
        <v>100</v>
      </c>
      <c r="H157" s="85"/>
    </row>
    <row r="158" spans="1:8" s="24" customFormat="1" ht="17.25" customHeight="1">
      <c r="A158" s="30" t="s">
        <v>2</v>
      </c>
      <c r="B158" s="20" t="s">
        <v>320</v>
      </c>
      <c r="C158" s="32" t="s">
        <v>131</v>
      </c>
      <c r="D158" s="33" t="s">
        <v>2</v>
      </c>
      <c r="E158" s="93">
        <f>E163+E164+E172+E171+E169+E170</f>
        <v>99265840</v>
      </c>
      <c r="F158" s="93">
        <f>F163+F164+F172+F171+F169+F170</f>
        <v>88295098.56</v>
      </c>
      <c r="G158" s="19">
        <f t="shared" si="1"/>
        <v>88.94812007836734</v>
      </c>
      <c r="H158" s="85"/>
    </row>
    <row r="159" spans="1:8" s="24" customFormat="1" ht="0.75" customHeight="1">
      <c r="A159" s="51"/>
      <c r="B159" s="94"/>
      <c r="C159" s="23"/>
      <c r="D159" s="18"/>
      <c r="E159" s="95"/>
      <c r="F159" s="95"/>
      <c r="G159" s="19" t="e">
        <f aca="true" t="shared" si="2" ref="G159:G222">F159/E159*100</f>
        <v>#DIV/0!</v>
      </c>
      <c r="H159" s="85"/>
    </row>
    <row r="160" spans="1:8" s="24" customFormat="1" ht="26.25" customHeight="1" hidden="1">
      <c r="A160" s="51"/>
      <c r="B160" s="94"/>
      <c r="C160" s="23"/>
      <c r="D160" s="18"/>
      <c r="E160" s="95"/>
      <c r="F160" s="95"/>
      <c r="G160" s="19" t="e">
        <f t="shared" si="2"/>
        <v>#DIV/0!</v>
      </c>
      <c r="H160" s="85"/>
    </row>
    <row r="161" spans="1:8" s="24" customFormat="1" ht="26.25" customHeight="1" hidden="1">
      <c r="A161" s="51" t="s">
        <v>2</v>
      </c>
      <c r="B161" s="94" t="s">
        <v>132</v>
      </c>
      <c r="C161" s="23" t="s">
        <v>172</v>
      </c>
      <c r="D161" s="18"/>
      <c r="E161" s="95"/>
      <c r="F161" s="95"/>
      <c r="G161" s="19" t="e">
        <f t="shared" si="2"/>
        <v>#DIV/0!</v>
      </c>
      <c r="H161" s="85"/>
    </row>
    <row r="162" spans="1:8" s="24" customFormat="1" ht="26.25" customHeight="1" hidden="1">
      <c r="A162" s="51" t="s">
        <v>2</v>
      </c>
      <c r="B162" s="94" t="s">
        <v>133</v>
      </c>
      <c r="C162" s="23" t="s">
        <v>173</v>
      </c>
      <c r="D162" s="18"/>
      <c r="E162" s="95">
        <v>0</v>
      </c>
      <c r="F162" s="95">
        <v>0</v>
      </c>
      <c r="G162" s="19" t="e">
        <f t="shared" si="2"/>
        <v>#DIV/0!</v>
      </c>
      <c r="H162" s="85"/>
    </row>
    <row r="163" spans="1:8" s="24" customFormat="1" ht="30">
      <c r="A163" s="36" t="s">
        <v>2</v>
      </c>
      <c r="B163" s="96" t="s">
        <v>292</v>
      </c>
      <c r="C163" s="38" t="s">
        <v>174</v>
      </c>
      <c r="D163" s="39" t="s">
        <v>246</v>
      </c>
      <c r="E163" s="97">
        <v>14882800</v>
      </c>
      <c r="F163" s="97">
        <v>6257982.97</v>
      </c>
      <c r="G163" s="19">
        <f t="shared" si="2"/>
        <v>42.048424825973605</v>
      </c>
      <c r="H163" s="85"/>
    </row>
    <row r="164" spans="1:8" s="24" customFormat="1" ht="67.5" customHeight="1">
      <c r="A164" s="36" t="s">
        <v>2</v>
      </c>
      <c r="B164" s="96" t="s">
        <v>293</v>
      </c>
      <c r="C164" s="98" t="s">
        <v>222</v>
      </c>
      <c r="D164" s="99" t="s">
        <v>246</v>
      </c>
      <c r="E164" s="97">
        <f>E165+E166+E167</f>
        <v>13971600</v>
      </c>
      <c r="F164" s="97">
        <f>F165+F166+F167</f>
        <v>12612229.190000001</v>
      </c>
      <c r="G164" s="19">
        <f t="shared" si="2"/>
        <v>90.27047145638296</v>
      </c>
      <c r="H164" s="85"/>
    </row>
    <row r="165" spans="1:8" s="24" customFormat="1" ht="14.25" customHeight="1">
      <c r="A165" s="51" t="s">
        <v>2</v>
      </c>
      <c r="B165" s="94" t="s">
        <v>294</v>
      </c>
      <c r="C165" s="17" t="s">
        <v>288</v>
      </c>
      <c r="D165" s="18" t="s">
        <v>246</v>
      </c>
      <c r="E165" s="100">
        <v>2168100</v>
      </c>
      <c r="F165" s="100">
        <f>1924985.21</f>
        <v>1924985.21</v>
      </c>
      <c r="G165" s="19">
        <f t="shared" si="2"/>
        <v>88.78673539043402</v>
      </c>
      <c r="H165" s="85"/>
    </row>
    <row r="166" spans="1:8" s="24" customFormat="1" ht="14.25" customHeight="1">
      <c r="A166" s="51" t="s">
        <v>2</v>
      </c>
      <c r="B166" s="94" t="s">
        <v>295</v>
      </c>
      <c r="C166" s="101" t="s">
        <v>289</v>
      </c>
      <c r="D166" s="102" t="s">
        <v>246</v>
      </c>
      <c r="E166" s="100">
        <f>13729000-4271200</f>
        <v>9457800</v>
      </c>
      <c r="F166" s="100">
        <v>9457800</v>
      </c>
      <c r="G166" s="19">
        <f t="shared" si="2"/>
        <v>100</v>
      </c>
      <c r="H166" s="85"/>
    </row>
    <row r="167" spans="1:8" s="24" customFormat="1" ht="14.25" customHeight="1">
      <c r="A167" s="51" t="s">
        <v>2</v>
      </c>
      <c r="B167" s="94" t="s">
        <v>296</v>
      </c>
      <c r="C167" s="17" t="s">
        <v>290</v>
      </c>
      <c r="D167" s="18" t="s">
        <v>246</v>
      </c>
      <c r="E167" s="100">
        <v>2345700</v>
      </c>
      <c r="F167" s="100">
        <v>1229443.98</v>
      </c>
      <c r="G167" s="19">
        <f t="shared" si="2"/>
        <v>52.412669139276126</v>
      </c>
      <c r="H167" s="85"/>
    </row>
    <row r="168" spans="1:8" s="24" customFormat="1" ht="0.75" customHeight="1">
      <c r="A168" s="36" t="s">
        <v>2</v>
      </c>
      <c r="B168" s="96" t="s">
        <v>337</v>
      </c>
      <c r="C168" s="38" t="s">
        <v>175</v>
      </c>
      <c r="D168" s="39"/>
      <c r="E168" s="97"/>
      <c r="F168" s="97"/>
      <c r="G168" s="19" t="e">
        <f t="shared" si="2"/>
        <v>#DIV/0!</v>
      </c>
      <c r="H168" s="85"/>
    </row>
    <row r="169" spans="1:8" s="24" customFormat="1" ht="45">
      <c r="A169" s="36" t="s">
        <v>2</v>
      </c>
      <c r="B169" s="96" t="s">
        <v>335</v>
      </c>
      <c r="C169" s="98" t="s">
        <v>338</v>
      </c>
      <c r="D169" s="39" t="s">
        <v>329</v>
      </c>
      <c r="E169" s="97">
        <f>6407100-953500</f>
        <v>5453600</v>
      </c>
      <c r="F169" s="97">
        <v>5453534.41</v>
      </c>
      <c r="G169" s="19">
        <f t="shared" si="2"/>
        <v>99.9987973082001</v>
      </c>
      <c r="H169" s="85"/>
    </row>
    <row r="170" spans="1:8" s="24" customFormat="1" ht="45">
      <c r="A170" s="36" t="s">
        <v>2</v>
      </c>
      <c r="B170" s="96" t="s">
        <v>355</v>
      </c>
      <c r="C170" s="98" t="s">
        <v>356</v>
      </c>
      <c r="D170" s="39" t="s">
        <v>329</v>
      </c>
      <c r="E170" s="97">
        <v>68100</v>
      </c>
      <c r="F170" s="97">
        <v>68100</v>
      </c>
      <c r="G170" s="19">
        <f t="shared" si="2"/>
        <v>100</v>
      </c>
      <c r="H170" s="85"/>
    </row>
    <row r="171" spans="1:8" s="24" customFormat="1" ht="45">
      <c r="A171" s="36" t="s">
        <v>2</v>
      </c>
      <c r="B171" s="96" t="s">
        <v>336</v>
      </c>
      <c r="C171" s="98" t="s">
        <v>223</v>
      </c>
      <c r="D171" s="99" t="s">
        <v>246</v>
      </c>
      <c r="E171" s="97">
        <v>11028100</v>
      </c>
      <c r="F171" s="97">
        <f>6781252.89+2577423.16+1508773.07</f>
        <v>10867449.120000001</v>
      </c>
      <c r="G171" s="19">
        <f t="shared" si="2"/>
        <v>98.5432587662426</v>
      </c>
      <c r="H171" s="78">
        <f>F171-E171</f>
        <v>-160650.87999999896</v>
      </c>
    </row>
    <row r="172" spans="1:8" s="104" customFormat="1" ht="15">
      <c r="A172" s="36" t="s">
        <v>2</v>
      </c>
      <c r="B172" s="96" t="s">
        <v>297</v>
      </c>
      <c r="C172" s="38" t="s">
        <v>176</v>
      </c>
      <c r="D172" s="39" t="s">
        <v>2</v>
      </c>
      <c r="E172" s="97">
        <f>E173+E177+E179+E182+E175+E176+E181+E187+E183+E178+E180+E184+E185+E174+E186</f>
        <v>53861640</v>
      </c>
      <c r="F172" s="97">
        <f>F173+F177+F179+F182+F175+F176+F181+F187+F183+F178+F180+F184+F185+F174+F186</f>
        <v>53035802.870000005</v>
      </c>
      <c r="G172" s="19">
        <f t="shared" si="2"/>
        <v>98.46674343744453</v>
      </c>
      <c r="H172" s="103"/>
    </row>
    <row r="173" spans="1:8" s="104" customFormat="1" ht="14.25">
      <c r="A173" s="51" t="s">
        <v>2</v>
      </c>
      <c r="B173" s="94" t="s">
        <v>298</v>
      </c>
      <c r="C173" s="17" t="s">
        <v>254</v>
      </c>
      <c r="D173" s="18" t="s">
        <v>255</v>
      </c>
      <c r="E173" s="100">
        <v>1985600</v>
      </c>
      <c r="F173" s="100">
        <f>421400+913500+650700</f>
        <v>1985600</v>
      </c>
      <c r="G173" s="19">
        <f t="shared" si="2"/>
        <v>100</v>
      </c>
      <c r="H173" s="103"/>
    </row>
    <row r="174" spans="1:8" s="104" customFormat="1" ht="25.5">
      <c r="A174" s="51" t="s">
        <v>2</v>
      </c>
      <c r="B174" s="94" t="s">
        <v>357</v>
      </c>
      <c r="C174" s="17" t="s">
        <v>358</v>
      </c>
      <c r="D174" s="18" t="s">
        <v>246</v>
      </c>
      <c r="E174" s="100">
        <v>126715</v>
      </c>
      <c r="F174" s="100">
        <v>126715</v>
      </c>
      <c r="G174" s="19">
        <f t="shared" si="2"/>
        <v>100</v>
      </c>
      <c r="H174" s="103"/>
    </row>
    <row r="175" spans="1:8" s="104" customFormat="1" ht="14.25">
      <c r="A175" s="51" t="s">
        <v>2</v>
      </c>
      <c r="B175" s="94" t="s">
        <v>299</v>
      </c>
      <c r="C175" s="17" t="s">
        <v>287</v>
      </c>
      <c r="D175" s="18" t="s">
        <v>246</v>
      </c>
      <c r="E175" s="100">
        <v>962400</v>
      </c>
      <c r="F175" s="100">
        <f>240600+240600+240600+240600</f>
        <v>962400</v>
      </c>
      <c r="G175" s="19">
        <f t="shared" si="2"/>
        <v>100</v>
      </c>
      <c r="H175" s="103"/>
    </row>
    <row r="176" spans="1:8" s="104" customFormat="1" ht="14.25">
      <c r="A176" s="51" t="s">
        <v>2</v>
      </c>
      <c r="B176" s="94" t="s">
        <v>300</v>
      </c>
      <c r="C176" s="17" t="s">
        <v>286</v>
      </c>
      <c r="D176" s="18" t="s">
        <v>246</v>
      </c>
      <c r="E176" s="100">
        <v>3107800</v>
      </c>
      <c r="F176" s="100">
        <v>2434479.39</v>
      </c>
      <c r="G176" s="19">
        <f t="shared" si="2"/>
        <v>78.33449353240235</v>
      </c>
      <c r="H176" s="103"/>
    </row>
    <row r="177" spans="1:8" s="104" customFormat="1" ht="14.25">
      <c r="A177" s="51" t="s">
        <v>2</v>
      </c>
      <c r="B177" s="94" t="s">
        <v>301</v>
      </c>
      <c r="C177" s="17" t="s">
        <v>256</v>
      </c>
      <c r="D177" s="18" t="s">
        <v>255</v>
      </c>
      <c r="E177" s="100">
        <v>1661100</v>
      </c>
      <c r="F177" s="100">
        <v>1661100</v>
      </c>
      <c r="G177" s="19">
        <f t="shared" si="2"/>
        <v>100</v>
      </c>
      <c r="H177" s="103"/>
    </row>
    <row r="178" spans="1:8" s="104" customFormat="1" ht="14.25">
      <c r="A178" s="51" t="s">
        <v>2</v>
      </c>
      <c r="B178" s="94" t="s">
        <v>339</v>
      </c>
      <c r="C178" s="17" t="s">
        <v>340</v>
      </c>
      <c r="D178" s="18" t="s">
        <v>255</v>
      </c>
      <c r="E178" s="100">
        <v>304000</v>
      </c>
      <c r="F178" s="100">
        <v>304000</v>
      </c>
      <c r="G178" s="19">
        <f t="shared" si="2"/>
        <v>100</v>
      </c>
      <c r="H178" s="103"/>
    </row>
    <row r="179" spans="1:8" s="104" customFormat="1" ht="14.25">
      <c r="A179" s="51" t="s">
        <v>2</v>
      </c>
      <c r="B179" s="94" t="s">
        <v>302</v>
      </c>
      <c r="C179" s="17" t="s">
        <v>257</v>
      </c>
      <c r="D179" s="18" t="s">
        <v>255</v>
      </c>
      <c r="E179" s="100">
        <v>4358000</v>
      </c>
      <c r="F179" s="100">
        <f>1045920+1307400+522960+1481720</f>
        <v>4358000</v>
      </c>
      <c r="G179" s="19">
        <f t="shared" si="2"/>
        <v>100</v>
      </c>
      <c r="H179" s="103"/>
    </row>
    <row r="180" spans="1:8" s="104" customFormat="1" ht="14.25">
      <c r="A180" s="51" t="s">
        <v>2</v>
      </c>
      <c r="B180" s="94" t="s">
        <v>342</v>
      </c>
      <c r="C180" s="17" t="s">
        <v>343</v>
      </c>
      <c r="D180" s="18" t="s">
        <v>255</v>
      </c>
      <c r="E180" s="100">
        <f>4192100-102100</f>
        <v>4090000</v>
      </c>
      <c r="F180" s="100">
        <v>4089965.31</v>
      </c>
      <c r="G180" s="19">
        <f t="shared" si="2"/>
        <v>99.99915183374083</v>
      </c>
      <c r="H180" s="103"/>
    </row>
    <row r="181" spans="1:8" s="104" customFormat="1" ht="14.25">
      <c r="A181" s="51" t="s">
        <v>2</v>
      </c>
      <c r="B181" s="94" t="s">
        <v>291</v>
      </c>
      <c r="C181" s="17" t="s">
        <v>321</v>
      </c>
      <c r="D181" s="18" t="s">
        <v>255</v>
      </c>
      <c r="E181" s="100">
        <f>1104400-330500+192800</f>
        <v>966700</v>
      </c>
      <c r="F181" s="100">
        <v>966640.75</v>
      </c>
      <c r="G181" s="19">
        <f t="shared" si="2"/>
        <v>99.99387090100342</v>
      </c>
      <c r="H181" s="103"/>
    </row>
    <row r="182" spans="1:8" s="104" customFormat="1" ht="14.25">
      <c r="A182" s="51" t="s">
        <v>2</v>
      </c>
      <c r="B182" s="94" t="s">
        <v>303</v>
      </c>
      <c r="C182" s="17" t="s">
        <v>258</v>
      </c>
      <c r="D182" s="18" t="s">
        <v>255</v>
      </c>
      <c r="E182" s="100">
        <v>170400</v>
      </c>
      <c r="F182" s="100">
        <v>170400</v>
      </c>
      <c r="G182" s="19">
        <f t="shared" si="2"/>
        <v>100</v>
      </c>
      <c r="H182" s="103"/>
    </row>
    <row r="183" spans="1:8" s="104" customFormat="1" ht="15.75" customHeight="1">
      <c r="A183" s="51" t="s">
        <v>2</v>
      </c>
      <c r="B183" s="94" t="s">
        <v>330</v>
      </c>
      <c r="C183" s="17" t="s">
        <v>331</v>
      </c>
      <c r="D183" s="18" t="s">
        <v>255</v>
      </c>
      <c r="E183" s="100">
        <v>5427300</v>
      </c>
      <c r="F183" s="100">
        <v>5427300</v>
      </c>
      <c r="G183" s="19">
        <f t="shared" si="2"/>
        <v>100</v>
      </c>
      <c r="H183" s="103"/>
    </row>
    <row r="184" spans="1:8" s="104" customFormat="1" ht="15.75" customHeight="1">
      <c r="A184" s="51" t="s">
        <v>2</v>
      </c>
      <c r="B184" s="94" t="s">
        <v>327</v>
      </c>
      <c r="C184" s="17" t="s">
        <v>328</v>
      </c>
      <c r="D184" s="18" t="s">
        <v>329</v>
      </c>
      <c r="E184" s="100">
        <f>10576600+6331600</f>
        <v>16908200</v>
      </c>
      <c r="F184" s="100">
        <f>7403620+3172980+6331600</f>
        <v>16908200</v>
      </c>
      <c r="G184" s="19">
        <f t="shared" si="2"/>
        <v>100</v>
      </c>
      <c r="H184" s="103"/>
    </row>
    <row r="185" spans="1:8" s="104" customFormat="1" ht="15.75" customHeight="1">
      <c r="A185" s="51" t="s">
        <v>2</v>
      </c>
      <c r="B185" s="94" t="s">
        <v>359</v>
      </c>
      <c r="C185" s="17" t="s">
        <v>360</v>
      </c>
      <c r="D185" s="18" t="s">
        <v>255</v>
      </c>
      <c r="E185" s="100">
        <v>12030500</v>
      </c>
      <c r="F185" s="100">
        <f>8110100+3920400</f>
        <v>12030500</v>
      </c>
      <c r="G185" s="19">
        <f t="shared" si="2"/>
        <v>100</v>
      </c>
      <c r="H185" s="103"/>
    </row>
    <row r="186" spans="1:8" s="104" customFormat="1" ht="15.75" customHeight="1">
      <c r="A186" s="51" t="s">
        <v>2</v>
      </c>
      <c r="B186" s="94" t="s">
        <v>344</v>
      </c>
      <c r="C186" s="17" t="s">
        <v>361</v>
      </c>
      <c r="D186" s="18" t="s">
        <v>246</v>
      </c>
      <c r="E186" s="100">
        <v>595535</v>
      </c>
      <c r="F186" s="100">
        <v>582038.89</v>
      </c>
      <c r="G186" s="19">
        <f>F186/E186*100</f>
        <v>97.7337839085864</v>
      </c>
      <c r="H186" s="103"/>
    </row>
    <row r="187" spans="1:8" s="104" customFormat="1" ht="14.25">
      <c r="A187" s="51" t="s">
        <v>2</v>
      </c>
      <c r="B187" s="94" t="s">
        <v>344</v>
      </c>
      <c r="C187" s="17" t="s">
        <v>361</v>
      </c>
      <c r="D187" s="18" t="s">
        <v>329</v>
      </c>
      <c r="E187" s="100">
        <v>1167390</v>
      </c>
      <c r="F187" s="100">
        <v>1028463.53</v>
      </c>
      <c r="G187" s="19">
        <f t="shared" si="2"/>
        <v>88.09939523209896</v>
      </c>
      <c r="H187" s="103"/>
    </row>
    <row r="188" spans="1:8" s="24" customFormat="1" ht="28.5">
      <c r="A188" s="30" t="s">
        <v>2</v>
      </c>
      <c r="B188" s="105" t="s">
        <v>304</v>
      </c>
      <c r="C188" s="32" t="s">
        <v>134</v>
      </c>
      <c r="D188" s="33"/>
      <c r="E188" s="93">
        <f>SUM(E189:E201)</f>
        <v>181507150</v>
      </c>
      <c r="F188" s="93">
        <f>SUM(F189:F201)</f>
        <v>180793818.1</v>
      </c>
      <c r="G188" s="19">
        <f t="shared" si="2"/>
        <v>99.60699515143067</v>
      </c>
      <c r="H188" s="85"/>
    </row>
    <row r="189" spans="1:8" s="24" customFormat="1" ht="60">
      <c r="A189" s="36" t="s">
        <v>204</v>
      </c>
      <c r="B189" s="96" t="s">
        <v>317</v>
      </c>
      <c r="C189" s="38" t="s">
        <v>205</v>
      </c>
      <c r="D189" s="39" t="s">
        <v>255</v>
      </c>
      <c r="E189" s="97">
        <v>3216800</v>
      </c>
      <c r="F189" s="97">
        <f>1888090+189630+112390+175710+417310</f>
        <v>2783130</v>
      </c>
      <c r="G189" s="19">
        <f t="shared" si="2"/>
        <v>86.5185899030092</v>
      </c>
      <c r="H189" s="85"/>
    </row>
    <row r="190" spans="1:8" s="24" customFormat="1" ht="43.5" customHeight="1">
      <c r="A190" s="36" t="s">
        <v>204</v>
      </c>
      <c r="B190" s="96" t="s">
        <v>305</v>
      </c>
      <c r="C190" s="38" t="s">
        <v>177</v>
      </c>
      <c r="D190" s="39" t="s">
        <v>246</v>
      </c>
      <c r="E190" s="97">
        <v>21100</v>
      </c>
      <c r="F190" s="97">
        <v>21100</v>
      </c>
      <c r="G190" s="19">
        <f t="shared" si="2"/>
        <v>100</v>
      </c>
      <c r="H190" s="85"/>
    </row>
    <row r="191" spans="1:8" s="24" customFormat="1" ht="32.25" customHeight="1">
      <c r="A191" s="36" t="s">
        <v>2</v>
      </c>
      <c r="B191" s="96" t="s">
        <v>306</v>
      </c>
      <c r="C191" s="38" t="s">
        <v>153</v>
      </c>
      <c r="D191" s="39" t="s">
        <v>246</v>
      </c>
      <c r="E191" s="97">
        <v>1537900</v>
      </c>
      <c r="F191" s="97">
        <f>175438+87719+59000+59000+59000+86157+59000+69158+59000+134917+193917+193917+166760+134917</f>
        <v>1537900</v>
      </c>
      <c r="G191" s="19">
        <f t="shared" si="2"/>
        <v>100</v>
      </c>
      <c r="H191" s="85"/>
    </row>
    <row r="192" spans="1:8" s="24" customFormat="1" ht="51.75" customHeight="1" hidden="1">
      <c r="A192" s="36" t="s">
        <v>2</v>
      </c>
      <c r="B192" s="96" t="s">
        <v>76</v>
      </c>
      <c r="C192" s="38" t="s">
        <v>177</v>
      </c>
      <c r="D192" s="39"/>
      <c r="E192" s="97"/>
      <c r="F192" s="97"/>
      <c r="G192" s="19" t="e">
        <f t="shared" si="2"/>
        <v>#DIV/0!</v>
      </c>
      <c r="H192" s="85"/>
    </row>
    <row r="193" spans="1:8" s="24" customFormat="1" ht="15" hidden="1">
      <c r="A193" s="36"/>
      <c r="B193" s="96"/>
      <c r="C193" s="38"/>
      <c r="D193" s="39"/>
      <c r="E193" s="97"/>
      <c r="F193" s="97"/>
      <c r="G193" s="19" t="e">
        <f t="shared" si="2"/>
        <v>#DIV/0!</v>
      </c>
      <c r="H193" s="85"/>
    </row>
    <row r="194" spans="1:8" s="24" customFormat="1" ht="30" hidden="1">
      <c r="A194" s="36" t="s">
        <v>2</v>
      </c>
      <c r="B194" s="96" t="s">
        <v>135</v>
      </c>
      <c r="C194" s="38" t="s">
        <v>178</v>
      </c>
      <c r="D194" s="39"/>
      <c r="E194" s="97"/>
      <c r="F194" s="97"/>
      <c r="G194" s="19" t="e">
        <f t="shared" si="2"/>
        <v>#DIV/0!</v>
      </c>
      <c r="H194" s="85"/>
    </row>
    <row r="195" spans="1:8" s="24" customFormat="1" ht="66" customHeight="1" hidden="1">
      <c r="A195" s="36"/>
      <c r="B195" s="96"/>
      <c r="C195" s="38"/>
      <c r="D195" s="39"/>
      <c r="E195" s="97"/>
      <c r="F195" s="97"/>
      <c r="G195" s="19" t="e">
        <f t="shared" si="2"/>
        <v>#DIV/0!</v>
      </c>
      <c r="H195" s="85"/>
    </row>
    <row r="196" spans="1:8" s="24" customFormat="1" ht="64.5" customHeight="1" hidden="1">
      <c r="A196" s="36"/>
      <c r="B196" s="96"/>
      <c r="C196" s="38"/>
      <c r="D196" s="39"/>
      <c r="E196" s="97"/>
      <c r="F196" s="97"/>
      <c r="G196" s="19" t="e">
        <f t="shared" si="2"/>
        <v>#DIV/0!</v>
      </c>
      <c r="H196" s="85"/>
    </row>
    <row r="197" spans="1:8" s="24" customFormat="1" ht="61.5" customHeight="1" hidden="1">
      <c r="A197" s="36" t="s">
        <v>2</v>
      </c>
      <c r="B197" s="96" t="s">
        <v>144</v>
      </c>
      <c r="C197" s="38" t="s">
        <v>154</v>
      </c>
      <c r="D197" s="39"/>
      <c r="E197" s="97">
        <v>0</v>
      </c>
      <c r="F197" s="97">
        <v>0</v>
      </c>
      <c r="G197" s="19" t="e">
        <f t="shared" si="2"/>
        <v>#DIV/0!</v>
      </c>
      <c r="H197" s="85"/>
    </row>
    <row r="198" spans="1:8" s="24" customFormat="1" ht="30" hidden="1">
      <c r="A198" s="36" t="s">
        <v>2</v>
      </c>
      <c r="B198" s="106" t="s">
        <v>136</v>
      </c>
      <c r="C198" s="38" t="s">
        <v>179</v>
      </c>
      <c r="D198" s="39"/>
      <c r="E198" s="97"/>
      <c r="F198" s="97"/>
      <c r="G198" s="19" t="e">
        <f t="shared" si="2"/>
        <v>#DIV/0!</v>
      </c>
      <c r="H198" s="85"/>
    </row>
    <row r="199" spans="1:8" s="24" customFormat="1" ht="15" hidden="1">
      <c r="A199" s="36"/>
      <c r="B199" s="106"/>
      <c r="C199" s="49"/>
      <c r="D199" s="39"/>
      <c r="E199" s="97"/>
      <c r="F199" s="97"/>
      <c r="G199" s="19" t="e">
        <f t="shared" si="2"/>
        <v>#DIV/0!</v>
      </c>
      <c r="H199" s="85"/>
    </row>
    <row r="200" spans="1:8" s="24" customFormat="1" ht="63" customHeight="1" hidden="1">
      <c r="A200" s="36"/>
      <c r="B200" s="96"/>
      <c r="C200" s="38"/>
      <c r="D200" s="39"/>
      <c r="E200" s="97"/>
      <c r="F200" s="97"/>
      <c r="G200" s="19" t="e">
        <f t="shared" si="2"/>
        <v>#DIV/0!</v>
      </c>
      <c r="H200" s="85"/>
    </row>
    <row r="201" spans="1:8" s="24" customFormat="1" ht="18.75" customHeight="1">
      <c r="A201" s="36" t="s">
        <v>2</v>
      </c>
      <c r="B201" s="96" t="s">
        <v>307</v>
      </c>
      <c r="C201" s="38" t="s">
        <v>155</v>
      </c>
      <c r="D201" s="39" t="s">
        <v>2</v>
      </c>
      <c r="E201" s="97">
        <f>E202+E203+E204+E205+E206+E207+E208+E209</f>
        <v>176731350</v>
      </c>
      <c r="F201" s="97">
        <f>F202+F203+F204+F205+F206+F207+F208+F209</f>
        <v>176451688.1</v>
      </c>
      <c r="G201" s="19">
        <f t="shared" si="2"/>
        <v>99.84175874851859</v>
      </c>
      <c r="H201" s="85"/>
    </row>
    <row r="202" spans="1:8" s="24" customFormat="1" ht="18.75" customHeight="1">
      <c r="A202" s="51" t="s">
        <v>2</v>
      </c>
      <c r="B202" s="94" t="s">
        <v>308</v>
      </c>
      <c r="C202" s="17" t="s">
        <v>259</v>
      </c>
      <c r="D202" s="18" t="s">
        <v>246</v>
      </c>
      <c r="E202" s="100">
        <v>332400</v>
      </c>
      <c r="F202" s="100">
        <f>83100+83100+83100+83100</f>
        <v>332400</v>
      </c>
      <c r="G202" s="19">
        <f t="shared" si="2"/>
        <v>100</v>
      </c>
      <c r="H202" s="85"/>
    </row>
    <row r="203" spans="1:8" s="24" customFormat="1" ht="18.75" customHeight="1">
      <c r="A203" s="51" t="s">
        <v>2</v>
      </c>
      <c r="B203" s="94" t="s">
        <v>309</v>
      </c>
      <c r="C203" s="17" t="s">
        <v>260</v>
      </c>
      <c r="D203" s="18" t="s">
        <v>246</v>
      </c>
      <c r="E203" s="100">
        <v>9355600</v>
      </c>
      <c r="F203" s="100">
        <v>9341515.3</v>
      </c>
      <c r="G203" s="19">
        <f t="shared" si="2"/>
        <v>99.84945166531276</v>
      </c>
      <c r="H203" s="85"/>
    </row>
    <row r="204" spans="1:8" s="24" customFormat="1" ht="18.75" customHeight="1">
      <c r="A204" s="51" t="s">
        <v>2</v>
      </c>
      <c r="B204" s="94" t="s">
        <v>310</v>
      </c>
      <c r="C204" s="17" t="s">
        <v>261</v>
      </c>
      <c r="D204" s="18" t="s">
        <v>246</v>
      </c>
      <c r="E204" s="100">
        <v>132050</v>
      </c>
      <c r="F204" s="100">
        <f>66025+66025</f>
        <v>132050</v>
      </c>
      <c r="G204" s="19">
        <f t="shared" si="2"/>
        <v>100</v>
      </c>
      <c r="H204" s="85"/>
    </row>
    <row r="205" spans="1:8" s="24" customFormat="1" ht="18.75" customHeight="1">
      <c r="A205" s="51" t="s">
        <v>2</v>
      </c>
      <c r="B205" s="94" t="s">
        <v>311</v>
      </c>
      <c r="C205" s="17" t="s">
        <v>262</v>
      </c>
      <c r="D205" s="18" t="s">
        <v>246</v>
      </c>
      <c r="E205" s="100">
        <v>103200</v>
      </c>
      <c r="F205" s="100">
        <f>103200</f>
        <v>103200</v>
      </c>
      <c r="G205" s="19">
        <f t="shared" si="2"/>
        <v>100</v>
      </c>
      <c r="H205" s="85"/>
    </row>
    <row r="206" spans="1:8" s="24" customFormat="1" ht="18.75" customHeight="1">
      <c r="A206" s="51" t="s">
        <v>2</v>
      </c>
      <c r="B206" s="94" t="s">
        <v>312</v>
      </c>
      <c r="C206" s="17" t="s">
        <v>263</v>
      </c>
      <c r="D206" s="18" t="s">
        <v>246</v>
      </c>
      <c r="E206" s="100">
        <v>4893800</v>
      </c>
      <c r="F206" s="100">
        <f>1957519.2+978759.6+978759.6+959184.4</f>
        <v>4874222.8</v>
      </c>
      <c r="G206" s="19">
        <f t="shared" si="2"/>
        <v>99.59995913196289</v>
      </c>
      <c r="H206" s="85"/>
    </row>
    <row r="207" spans="1:8" s="24" customFormat="1" ht="18.75" customHeight="1">
      <c r="A207" s="51" t="s">
        <v>2</v>
      </c>
      <c r="B207" s="94" t="s">
        <v>313</v>
      </c>
      <c r="C207" s="17" t="s">
        <v>264</v>
      </c>
      <c r="D207" s="18" t="s">
        <v>255</v>
      </c>
      <c r="E207" s="100">
        <f>104343000+2796200+251600</f>
        <v>107390800</v>
      </c>
      <c r="F207" s="100">
        <f>72578668+2690299+6389373+2707344+6147860.68+322750+2705264+6423120+2505045+4921076.32</f>
        <v>107390800</v>
      </c>
      <c r="G207" s="19">
        <f t="shared" si="2"/>
        <v>100</v>
      </c>
      <c r="H207" s="85"/>
    </row>
    <row r="208" spans="1:8" s="24" customFormat="1" ht="18.75" customHeight="1">
      <c r="A208" s="51" t="s">
        <v>2</v>
      </c>
      <c r="B208" s="94" t="s">
        <v>314</v>
      </c>
      <c r="C208" s="17" t="s">
        <v>265</v>
      </c>
      <c r="D208" s="18" t="s">
        <v>255</v>
      </c>
      <c r="E208" s="100">
        <f>45186000+6668800+1426700</f>
        <v>53281500</v>
      </c>
      <c r="F208" s="100">
        <f>35255247+1294426+2969849+1405104+3219492+1528426+3180743+1395706+3032507</f>
        <v>53281500</v>
      </c>
      <c r="G208" s="19">
        <f t="shared" si="2"/>
        <v>100</v>
      </c>
      <c r="H208" s="85"/>
    </row>
    <row r="209" spans="1:8" s="24" customFormat="1" ht="18.75" customHeight="1">
      <c r="A209" s="51" t="s">
        <v>2</v>
      </c>
      <c r="B209" s="94" t="s">
        <v>315</v>
      </c>
      <c r="C209" s="17" t="s">
        <v>266</v>
      </c>
      <c r="D209" s="18" t="s">
        <v>255</v>
      </c>
      <c r="E209" s="100">
        <v>1242000</v>
      </c>
      <c r="F209" s="100">
        <f>687000+70500+73500+90000+75000</f>
        <v>996000</v>
      </c>
      <c r="G209" s="19">
        <f t="shared" si="2"/>
        <v>80.19323671497585</v>
      </c>
      <c r="H209" s="85"/>
    </row>
    <row r="210" spans="1:8" s="108" customFormat="1" ht="21" customHeight="1">
      <c r="A210" s="30" t="s">
        <v>2</v>
      </c>
      <c r="B210" s="105" t="s">
        <v>77</v>
      </c>
      <c r="C210" s="32" t="s">
        <v>137</v>
      </c>
      <c r="D210" s="33"/>
      <c r="E210" s="93">
        <f>E221+E212+E213+E214+E211+E215+E216+E217+E218+E220+E219</f>
        <v>1567561</v>
      </c>
      <c r="F210" s="93">
        <f>F221+F212+F213+F214+F211+F215+F216+F217+F218+F220+F219</f>
        <v>1564915.29</v>
      </c>
      <c r="G210" s="19">
        <f t="shared" si="2"/>
        <v>99.83122124115107</v>
      </c>
      <c r="H210" s="107"/>
    </row>
    <row r="211" spans="1:8" s="108" customFormat="1" ht="52.5" customHeight="1" hidden="1">
      <c r="A211" s="36" t="s">
        <v>2</v>
      </c>
      <c r="B211" s="96" t="s">
        <v>138</v>
      </c>
      <c r="C211" s="38" t="s">
        <v>180</v>
      </c>
      <c r="D211" s="39"/>
      <c r="E211" s="50"/>
      <c r="F211" s="50"/>
      <c r="G211" s="19" t="e">
        <f t="shared" si="2"/>
        <v>#DIV/0!</v>
      </c>
      <c r="H211" s="107"/>
    </row>
    <row r="212" spans="1:8" s="24" customFormat="1" ht="52.5" customHeight="1" hidden="1">
      <c r="A212" s="36" t="s">
        <v>2</v>
      </c>
      <c r="B212" s="96" t="s">
        <v>78</v>
      </c>
      <c r="C212" s="38" t="s">
        <v>181</v>
      </c>
      <c r="D212" s="39"/>
      <c r="E212" s="50"/>
      <c r="F212" s="50"/>
      <c r="G212" s="19" t="e">
        <f t="shared" si="2"/>
        <v>#DIV/0!</v>
      </c>
      <c r="H212" s="85"/>
    </row>
    <row r="213" spans="1:8" s="24" customFormat="1" ht="52.5" customHeight="1" hidden="1">
      <c r="A213" s="36" t="s">
        <v>2</v>
      </c>
      <c r="B213" s="96" t="s">
        <v>139</v>
      </c>
      <c r="C213" s="38" t="s">
        <v>182</v>
      </c>
      <c r="D213" s="39"/>
      <c r="E213" s="50"/>
      <c r="F213" s="50"/>
      <c r="G213" s="19" t="e">
        <f t="shared" si="2"/>
        <v>#DIV/0!</v>
      </c>
      <c r="H213" s="85"/>
    </row>
    <row r="214" spans="1:8" s="24" customFormat="1" ht="52.5" customHeight="1" hidden="1">
      <c r="A214" s="36" t="s">
        <v>2</v>
      </c>
      <c r="B214" s="96" t="s">
        <v>140</v>
      </c>
      <c r="C214" s="38" t="s">
        <v>183</v>
      </c>
      <c r="D214" s="39"/>
      <c r="E214" s="50"/>
      <c r="F214" s="50"/>
      <c r="G214" s="19" t="e">
        <f t="shared" si="2"/>
        <v>#DIV/0!</v>
      </c>
      <c r="H214" s="85"/>
    </row>
    <row r="215" spans="1:8" s="24" customFormat="1" ht="30.75" customHeight="1" hidden="1">
      <c r="A215" s="36" t="s">
        <v>2</v>
      </c>
      <c r="B215" s="96" t="s">
        <v>141</v>
      </c>
      <c r="C215" s="38" t="s">
        <v>189</v>
      </c>
      <c r="D215" s="39"/>
      <c r="E215" s="50"/>
      <c r="F215" s="50"/>
      <c r="G215" s="19" t="e">
        <f t="shared" si="2"/>
        <v>#DIV/0!</v>
      </c>
      <c r="H215" s="85"/>
    </row>
    <row r="216" spans="1:8" s="24" customFormat="1" ht="21.75" customHeight="1">
      <c r="A216" s="36" t="s">
        <v>2</v>
      </c>
      <c r="B216" s="96" t="s">
        <v>396</v>
      </c>
      <c r="C216" s="38" t="s">
        <v>184</v>
      </c>
      <c r="D216" s="39" t="s">
        <v>246</v>
      </c>
      <c r="E216" s="97">
        <f>50000+255000+250000</f>
        <v>555000</v>
      </c>
      <c r="F216" s="97">
        <f>50000+255000+250000</f>
        <v>555000</v>
      </c>
      <c r="G216" s="19">
        <f t="shared" si="2"/>
        <v>100</v>
      </c>
      <c r="H216" s="85"/>
    </row>
    <row r="217" spans="1:8" s="24" customFormat="1" ht="16.5" customHeight="1" hidden="1">
      <c r="A217" s="36" t="s">
        <v>2</v>
      </c>
      <c r="B217" s="96" t="s">
        <v>396</v>
      </c>
      <c r="C217" s="38" t="s">
        <v>184</v>
      </c>
      <c r="D217" s="39" t="s">
        <v>255</v>
      </c>
      <c r="E217" s="97"/>
      <c r="F217" s="97"/>
      <c r="G217" s="19"/>
      <c r="H217" s="85"/>
    </row>
    <row r="218" spans="1:8" s="24" customFormat="1" ht="16.5" customHeight="1" hidden="1">
      <c r="A218" s="36" t="s">
        <v>2</v>
      </c>
      <c r="B218" s="96" t="s">
        <v>396</v>
      </c>
      <c r="C218" s="38" t="s">
        <v>184</v>
      </c>
      <c r="D218" s="39" t="s">
        <v>329</v>
      </c>
      <c r="E218" s="97"/>
      <c r="F218" s="97"/>
      <c r="G218" s="19"/>
      <c r="H218" s="85"/>
    </row>
    <row r="219" spans="1:8" s="24" customFormat="1" ht="42.75" customHeight="1">
      <c r="A219" s="36" t="s">
        <v>2</v>
      </c>
      <c r="B219" s="96" t="s">
        <v>397</v>
      </c>
      <c r="C219" s="38" t="s">
        <v>362</v>
      </c>
      <c r="D219" s="39" t="s">
        <v>255</v>
      </c>
      <c r="E219" s="97">
        <v>982561</v>
      </c>
      <c r="F219" s="97">
        <v>982561</v>
      </c>
      <c r="G219" s="19">
        <f t="shared" si="2"/>
        <v>100</v>
      </c>
      <c r="H219" s="85"/>
    </row>
    <row r="220" spans="1:8" s="24" customFormat="1" ht="29.25" customHeight="1">
      <c r="A220" s="36" t="s">
        <v>2</v>
      </c>
      <c r="B220" s="96" t="s">
        <v>398</v>
      </c>
      <c r="C220" s="38" t="s">
        <v>345</v>
      </c>
      <c r="D220" s="39" t="s">
        <v>246</v>
      </c>
      <c r="E220" s="97">
        <v>10000</v>
      </c>
      <c r="F220" s="109">
        <v>9775.73</v>
      </c>
      <c r="G220" s="19">
        <f t="shared" si="2"/>
        <v>97.75729999999999</v>
      </c>
      <c r="H220" s="85"/>
    </row>
    <row r="221" spans="1:8" s="24" customFormat="1" ht="29.25" customHeight="1">
      <c r="A221" s="36" t="s">
        <v>2</v>
      </c>
      <c r="B221" s="96" t="s">
        <v>398</v>
      </c>
      <c r="C221" s="38" t="s">
        <v>345</v>
      </c>
      <c r="D221" s="39" t="s">
        <v>329</v>
      </c>
      <c r="E221" s="97">
        <v>20000</v>
      </c>
      <c r="F221" s="97">
        <v>17578.56</v>
      </c>
      <c r="G221" s="19">
        <f t="shared" si="2"/>
        <v>87.89280000000001</v>
      </c>
      <c r="H221" s="85"/>
    </row>
    <row r="222" spans="1:8" s="24" customFormat="1" ht="29.25" customHeight="1">
      <c r="A222" s="30" t="s">
        <v>2</v>
      </c>
      <c r="B222" s="105" t="s">
        <v>217</v>
      </c>
      <c r="C222" s="32" t="s">
        <v>218</v>
      </c>
      <c r="D222" s="33"/>
      <c r="E222" s="93">
        <f>E223</f>
        <v>255000</v>
      </c>
      <c r="F222" s="93">
        <f>F223</f>
        <v>232511.52999999997</v>
      </c>
      <c r="G222" s="19">
        <f t="shared" si="2"/>
        <v>91.18099215686273</v>
      </c>
      <c r="H222" s="85"/>
    </row>
    <row r="223" spans="1:8" s="24" customFormat="1" ht="28.5" customHeight="1">
      <c r="A223" s="36" t="s">
        <v>2</v>
      </c>
      <c r="B223" s="96" t="s">
        <v>322</v>
      </c>
      <c r="C223" s="38" t="s">
        <v>219</v>
      </c>
      <c r="D223" s="39"/>
      <c r="E223" s="97">
        <f>E224+E225</f>
        <v>255000</v>
      </c>
      <c r="F223" s="97">
        <f>F224+F225</f>
        <v>232511.52999999997</v>
      </c>
      <c r="G223" s="19">
        <f>F223/E223*100</f>
        <v>91.18099215686273</v>
      </c>
      <c r="H223" s="85"/>
    </row>
    <row r="224" spans="1:8" s="24" customFormat="1" ht="28.5" customHeight="1">
      <c r="A224" s="36" t="s">
        <v>2</v>
      </c>
      <c r="B224" s="96" t="s">
        <v>399</v>
      </c>
      <c r="C224" s="38" t="s">
        <v>219</v>
      </c>
      <c r="D224" s="39" t="s">
        <v>246</v>
      </c>
      <c r="E224" s="97">
        <v>85000</v>
      </c>
      <c r="F224" s="97">
        <f>40000+5000+25000+13093.73</f>
        <v>83093.73</v>
      </c>
      <c r="G224" s="19">
        <f>F224/E224*100</f>
        <v>97.7573294117647</v>
      </c>
      <c r="H224" s="85"/>
    </row>
    <row r="225" spans="1:8" s="24" customFormat="1" ht="28.5" customHeight="1">
      <c r="A225" s="36" t="s">
        <v>2</v>
      </c>
      <c r="B225" s="96" t="s">
        <v>399</v>
      </c>
      <c r="C225" s="38" t="s">
        <v>219</v>
      </c>
      <c r="D225" s="39" t="s">
        <v>329</v>
      </c>
      <c r="E225" s="97">
        <v>170000</v>
      </c>
      <c r="F225" s="97">
        <f>119417.8+30000</f>
        <v>149417.8</v>
      </c>
      <c r="G225" s="19">
        <f aca="true" t="shared" si="3" ref="G225:G235">F225/E225*100</f>
        <v>87.89282352941176</v>
      </c>
      <c r="H225" s="85"/>
    </row>
    <row r="226" spans="1:8" s="24" customFormat="1" ht="15.75" customHeight="1">
      <c r="A226" s="30" t="s">
        <v>2</v>
      </c>
      <c r="B226" s="105" t="s">
        <v>214</v>
      </c>
      <c r="C226" s="32" t="s">
        <v>215</v>
      </c>
      <c r="D226" s="33"/>
      <c r="E226" s="93">
        <f>E227</f>
        <v>540000</v>
      </c>
      <c r="F226" s="93">
        <f>F227</f>
        <v>492381.27</v>
      </c>
      <c r="G226" s="19">
        <f t="shared" si="3"/>
        <v>91.18171666666667</v>
      </c>
      <c r="H226" s="85"/>
    </row>
    <row r="227" spans="1:8" s="24" customFormat="1" ht="17.25" customHeight="1">
      <c r="A227" s="36" t="s">
        <v>2</v>
      </c>
      <c r="B227" s="96" t="s">
        <v>323</v>
      </c>
      <c r="C227" s="38" t="s">
        <v>213</v>
      </c>
      <c r="D227" s="39"/>
      <c r="E227" s="97">
        <f>E228+E229</f>
        <v>540000</v>
      </c>
      <c r="F227" s="97">
        <f>F228+F229</f>
        <v>492381.27</v>
      </c>
      <c r="G227" s="19">
        <f>F227/E227*100</f>
        <v>91.18171666666667</v>
      </c>
      <c r="H227" s="85"/>
    </row>
    <row r="228" spans="1:8" s="24" customFormat="1" ht="17.25" customHeight="1">
      <c r="A228" s="36" t="s">
        <v>2</v>
      </c>
      <c r="B228" s="96" t="s">
        <v>400</v>
      </c>
      <c r="C228" s="38" t="s">
        <v>213</v>
      </c>
      <c r="D228" s="39" t="s">
        <v>246</v>
      </c>
      <c r="E228" s="97">
        <v>180000</v>
      </c>
      <c r="F228" s="97">
        <f>54340+82500+39123.19</f>
        <v>175963.19</v>
      </c>
      <c r="G228" s="19">
        <f>F228/E228*100</f>
        <v>97.75732777777777</v>
      </c>
      <c r="H228" s="85"/>
    </row>
    <row r="229" spans="1:8" s="24" customFormat="1" ht="17.25" customHeight="1">
      <c r="A229" s="36" t="s">
        <v>2</v>
      </c>
      <c r="B229" s="96" t="s">
        <v>400</v>
      </c>
      <c r="C229" s="38" t="s">
        <v>213</v>
      </c>
      <c r="D229" s="39" t="s">
        <v>329</v>
      </c>
      <c r="E229" s="97">
        <v>360000</v>
      </c>
      <c r="F229" s="97">
        <f>164400+85500+66518.08</f>
        <v>316418.08</v>
      </c>
      <c r="G229" s="19">
        <f t="shared" si="3"/>
        <v>87.89391111111111</v>
      </c>
      <c r="H229" s="85"/>
    </row>
    <row r="230" spans="1:8" s="24" customFormat="1" ht="87.75" customHeight="1">
      <c r="A230" s="30" t="s">
        <v>2</v>
      </c>
      <c r="B230" s="105" t="s">
        <v>82</v>
      </c>
      <c r="C230" s="32" t="s">
        <v>142</v>
      </c>
      <c r="D230" s="33"/>
      <c r="E230" s="93">
        <f>E231+E232</f>
        <v>109273.37</v>
      </c>
      <c r="F230" s="93">
        <f>F231+F232</f>
        <v>109273.37</v>
      </c>
      <c r="G230" s="19">
        <f t="shared" si="3"/>
        <v>100</v>
      </c>
      <c r="H230" s="85"/>
    </row>
    <row r="231" spans="1:8" s="24" customFormat="1" ht="35.25" customHeight="1">
      <c r="A231" s="36" t="s">
        <v>2</v>
      </c>
      <c r="B231" s="96" t="s">
        <v>324</v>
      </c>
      <c r="C231" s="38" t="s">
        <v>185</v>
      </c>
      <c r="D231" s="39" t="s">
        <v>253</v>
      </c>
      <c r="E231" s="97">
        <v>109273.37</v>
      </c>
      <c r="F231" s="97">
        <f>244.37+7951.92+3077.08+98000</f>
        <v>109273.37</v>
      </c>
      <c r="G231" s="19">
        <f t="shared" si="3"/>
        <v>100</v>
      </c>
      <c r="H231" s="85"/>
    </row>
    <row r="232" spans="1:8" s="24" customFormat="1" ht="63" customHeight="1" hidden="1">
      <c r="A232" s="36" t="s">
        <v>2</v>
      </c>
      <c r="B232" s="96" t="s">
        <v>216</v>
      </c>
      <c r="C232" s="38" t="s">
        <v>186</v>
      </c>
      <c r="D232" s="39" t="s">
        <v>253</v>
      </c>
      <c r="E232" s="97">
        <v>0</v>
      </c>
      <c r="F232" s="97">
        <v>0</v>
      </c>
      <c r="G232" s="19" t="e">
        <f t="shared" si="3"/>
        <v>#DIV/0!</v>
      </c>
      <c r="H232" s="85"/>
    </row>
    <row r="233" spans="1:8" s="24" customFormat="1" ht="42.75">
      <c r="A233" s="30" t="s">
        <v>2</v>
      </c>
      <c r="B233" s="105" t="s">
        <v>83</v>
      </c>
      <c r="C233" s="32" t="s">
        <v>143</v>
      </c>
      <c r="D233" s="33"/>
      <c r="E233" s="93">
        <f>E234</f>
        <v>0</v>
      </c>
      <c r="F233" s="93">
        <f>F234</f>
        <v>-2736778.58</v>
      </c>
      <c r="G233" s="118">
        <v>0</v>
      </c>
      <c r="H233" s="85"/>
    </row>
    <row r="234" spans="1:8" s="24" customFormat="1" ht="29.25" customHeight="1">
      <c r="A234" s="36" t="s">
        <v>2</v>
      </c>
      <c r="B234" s="96" t="s">
        <v>316</v>
      </c>
      <c r="C234" s="38" t="s">
        <v>187</v>
      </c>
      <c r="D234" s="39"/>
      <c r="E234" s="97">
        <v>0</v>
      </c>
      <c r="F234" s="97">
        <f>-1942993.96-793784.62</f>
        <v>-2736778.58</v>
      </c>
      <c r="G234" s="118">
        <v>0</v>
      </c>
      <c r="H234" s="85"/>
    </row>
    <row r="235" spans="1:8" s="24" customFormat="1" ht="21" customHeight="1">
      <c r="A235" s="127" t="s">
        <v>50</v>
      </c>
      <c r="B235" s="127"/>
      <c r="C235" s="127"/>
      <c r="D235" s="63"/>
      <c r="E235" s="93">
        <f>E151+E13</f>
        <v>606761818.87</v>
      </c>
      <c r="F235" s="93">
        <f>F151+F13</f>
        <v>580583590.11</v>
      </c>
      <c r="G235" s="19">
        <f t="shared" si="3"/>
        <v>95.68558403876617</v>
      </c>
      <c r="H235" s="110"/>
    </row>
    <row r="236" spans="3:8" s="24" customFormat="1" ht="15.75">
      <c r="C236" s="111"/>
      <c r="D236" s="112"/>
      <c r="E236" s="113"/>
      <c r="F236" s="113"/>
      <c r="G236" s="19"/>
      <c r="H236" s="29"/>
    </row>
    <row r="237" spans="3:7" s="24" customFormat="1" ht="15.75">
      <c r="C237" s="111"/>
      <c r="D237" s="114"/>
      <c r="E237" s="113"/>
      <c r="F237" s="113"/>
      <c r="G237" s="113"/>
    </row>
    <row r="238" spans="3:7" s="24" customFormat="1" ht="15.75">
      <c r="C238" s="111"/>
      <c r="D238" s="114"/>
      <c r="E238" s="113"/>
      <c r="F238" s="113"/>
      <c r="G238" s="113"/>
    </row>
    <row r="239" spans="3:7" s="24" customFormat="1" ht="15.75">
      <c r="C239" s="111"/>
      <c r="D239" s="114"/>
      <c r="E239" s="113"/>
      <c r="F239" s="113"/>
      <c r="G239" s="113"/>
    </row>
    <row r="240" spans="3:7" s="24" customFormat="1" ht="15.75">
      <c r="C240" s="115"/>
      <c r="D240" s="116"/>
      <c r="E240" s="117"/>
      <c r="F240" s="117"/>
      <c r="G240" s="35"/>
    </row>
  </sheetData>
  <sheetProtection/>
  <mergeCells count="8">
    <mergeCell ref="D10:D11"/>
    <mergeCell ref="E10:G10"/>
    <mergeCell ref="H10:H11"/>
    <mergeCell ref="A12:B12"/>
    <mergeCell ref="A235:C235"/>
    <mergeCell ref="B8:G8"/>
    <mergeCell ref="A10:B11"/>
    <mergeCell ref="C10:C11"/>
  </mergeCells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Оператор</dc:creator>
  <cp:keywords/>
  <dc:description/>
  <cp:lastModifiedBy>Пользователь</cp:lastModifiedBy>
  <cp:lastPrinted>2020-03-30T06:05:49Z</cp:lastPrinted>
  <dcterms:created xsi:type="dcterms:W3CDTF">2008-03-24T09:39:44Z</dcterms:created>
  <dcterms:modified xsi:type="dcterms:W3CDTF">2020-11-26T13:57:00Z</dcterms:modified>
  <cp:category/>
  <cp:version/>
  <cp:contentType/>
  <cp:contentStatus/>
</cp:coreProperties>
</file>